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640" activeTab="0"/>
  </bookViews>
  <sheets>
    <sheet name="Gabarito" sheetId="1" r:id="rId1"/>
    <sheet name="NPSHreq" sheetId="2" r:id="rId2"/>
    <sheet name="CCB da bomba 8" sheetId="3" r:id="rId3"/>
    <sheet name="Associação série B7 e B8" sheetId="4" r:id="rId4"/>
    <sheet name="Det do f2&quot;" sheetId="5" r:id="rId5"/>
    <sheet name="Det do f1,5&quot;" sheetId="6" r:id="rId6"/>
    <sheet name="Det do f1&quot;" sheetId="7" r:id="rId7"/>
  </sheets>
  <definedNames/>
  <calcPr fullCalcOnLoad="1"/>
</workbook>
</file>

<file path=xl/sharedStrings.xml><?xml version="1.0" encoding="utf-8"?>
<sst xmlns="http://schemas.openxmlformats.org/spreadsheetml/2006/main" count="300" uniqueCount="147">
  <si>
    <t>Dados:</t>
  </si>
  <si>
    <t>leitura barométrica:</t>
  </si>
  <si>
    <t>mmHg</t>
  </si>
  <si>
    <t>água a 30ºC:</t>
  </si>
  <si>
    <t>kg/m³</t>
  </si>
  <si>
    <r>
      <t xml:space="preserve">r </t>
    </r>
    <r>
      <rPr>
        <sz val="10"/>
        <color indexed="10"/>
        <rFont val="Arial"/>
        <family val="0"/>
      </rPr>
      <t>=</t>
    </r>
  </si>
  <si>
    <t>kg/(m*s)</t>
  </si>
  <si>
    <r>
      <t>m</t>
    </r>
    <r>
      <rPr>
        <sz val="10"/>
        <color indexed="10"/>
        <rFont val="Arial"/>
        <family val="0"/>
      </rPr>
      <t xml:space="preserve"> =</t>
    </r>
  </si>
  <si>
    <t>pvapor =</t>
  </si>
  <si>
    <t>Pa (abs)</t>
  </si>
  <si>
    <t>g =</t>
  </si>
  <si>
    <t>m/s²</t>
  </si>
  <si>
    <t>PHR no nível de captação:</t>
  </si>
  <si>
    <t>Ze =</t>
  </si>
  <si>
    <t>cm</t>
  </si>
  <si>
    <t>Zsf =</t>
  </si>
  <si>
    <t>Tubulação de sucção de 2"</t>
  </si>
  <si>
    <t>L (m)</t>
  </si>
  <si>
    <t>Tubulação de recalque de 1"</t>
  </si>
  <si>
    <t>Tubulação de recalque de 1,5"</t>
  </si>
  <si>
    <t>Tubulação de recalque de 2"</t>
  </si>
  <si>
    <r>
      <t>S</t>
    </r>
    <r>
      <rPr>
        <sz val="10"/>
        <color indexed="10"/>
        <rFont val="Arial"/>
        <family val="0"/>
      </rPr>
      <t>leq (m)</t>
    </r>
  </si>
  <si>
    <t>1. Cálculo da perda no trecho de 2 a 3, ou seja, da saída da bomba da bancada 7 (RUDC) à entrada da bomba da bancada 8 (INAPI)</t>
  </si>
  <si>
    <t>bancada 8</t>
  </si>
  <si>
    <t>bancada 7</t>
  </si>
  <si>
    <r>
      <t>D</t>
    </r>
    <r>
      <rPr>
        <sz val="10"/>
        <color indexed="10"/>
        <rFont val="Arial"/>
        <family val="0"/>
      </rPr>
      <t>Z (mm)</t>
    </r>
  </si>
  <si>
    <t>Dinte (mm)</t>
  </si>
  <si>
    <t>Dints (mm)</t>
  </si>
  <si>
    <t>Atanque =</t>
  </si>
  <si>
    <t>m²</t>
  </si>
  <si>
    <r>
      <t>ps = p</t>
    </r>
    <r>
      <rPr>
        <sz val="8"/>
        <color indexed="10"/>
        <rFont val="Arial"/>
        <family val="0"/>
      </rPr>
      <t>2</t>
    </r>
    <r>
      <rPr>
        <sz val="10"/>
        <color indexed="10"/>
        <rFont val="Arial"/>
        <family val="0"/>
      </rPr>
      <t xml:space="preserve"> =</t>
    </r>
  </si>
  <si>
    <t>kPa</t>
  </si>
  <si>
    <r>
      <t>pe = p</t>
    </r>
    <r>
      <rPr>
        <sz val="8"/>
        <color indexed="10"/>
        <rFont val="Arial"/>
        <family val="0"/>
      </rPr>
      <t>3</t>
    </r>
    <r>
      <rPr>
        <sz val="10"/>
        <color indexed="10"/>
        <rFont val="Arial"/>
        <family val="0"/>
      </rPr>
      <t xml:space="preserve"> =</t>
    </r>
  </si>
  <si>
    <t>bar</t>
  </si>
  <si>
    <t>m</t>
  </si>
  <si>
    <r>
      <t>Z</t>
    </r>
    <r>
      <rPr>
        <sz val="8"/>
        <color indexed="10"/>
        <rFont val="Arial"/>
        <family val="0"/>
      </rPr>
      <t>2</t>
    </r>
    <r>
      <rPr>
        <sz val="10"/>
        <color indexed="10"/>
        <rFont val="Arial"/>
        <family val="0"/>
      </rPr>
      <t xml:space="preserve"> =</t>
    </r>
  </si>
  <si>
    <t>(PHR)</t>
  </si>
  <si>
    <r>
      <t>Z</t>
    </r>
    <r>
      <rPr>
        <sz val="8"/>
        <color indexed="10"/>
        <rFont val="Arial"/>
        <family val="0"/>
      </rPr>
      <t>3</t>
    </r>
    <r>
      <rPr>
        <sz val="10"/>
        <color indexed="10"/>
        <rFont val="Arial"/>
        <family val="0"/>
      </rPr>
      <t xml:space="preserve"> =</t>
    </r>
  </si>
  <si>
    <t>Como o diâmetro é o memsmo nas seções 2 e 3, tem-se v = cte</t>
  </si>
  <si>
    <r>
      <t>Hp</t>
    </r>
    <r>
      <rPr>
        <sz val="8"/>
        <color indexed="10"/>
        <rFont val="Arial"/>
        <family val="0"/>
      </rPr>
      <t xml:space="preserve">2-3 </t>
    </r>
    <r>
      <rPr>
        <sz val="10"/>
        <color indexed="10"/>
        <rFont val="Arial"/>
        <family val="0"/>
      </rPr>
      <t>=</t>
    </r>
  </si>
  <si>
    <t>2. a equação da curva de tendência da representação do NPSHreq em função da vazão para a bomba RUDC</t>
  </si>
  <si>
    <t xml:space="preserve"> Q(m³/h)</t>
  </si>
  <si>
    <t>Ensaio</t>
  </si>
  <si>
    <t>pe (mmHg)</t>
  </si>
  <si>
    <t>t(s)</t>
  </si>
  <si>
    <r>
      <t>D</t>
    </r>
    <r>
      <rPr>
        <sz val="10"/>
        <color indexed="10"/>
        <rFont val="Arial"/>
        <family val="2"/>
      </rPr>
      <t>h (mm)</t>
    </r>
  </si>
  <si>
    <t>Q (m³/s)</t>
  </si>
  <si>
    <t>Q(m³/h)</t>
  </si>
  <si>
    <t>peabs (Pa)</t>
  </si>
  <si>
    <t>A (cm²)</t>
  </si>
  <si>
    <t>Aentrada =</t>
  </si>
  <si>
    <t>cm²</t>
  </si>
  <si>
    <t>ve (m/s)</t>
  </si>
  <si>
    <t>ve²/2g (m)</t>
  </si>
  <si>
    <t>Heabs (m)</t>
  </si>
  <si>
    <t>NPSHreq (m)</t>
  </si>
  <si>
    <t>NPSHreq =</t>
  </si>
  <si>
    <t>* Q² +</t>
  </si>
  <si>
    <t>* Q +</t>
  </si>
  <si>
    <t>3. ponto de trabalho considerando a CCB da associação obtida através das curvas fornecidas pelos fabricantes das bombas</t>
  </si>
  <si>
    <t>HB7(m)</t>
  </si>
  <si>
    <t>HB8(m)</t>
  </si>
  <si>
    <t>HB (m)</t>
  </si>
  <si>
    <t>HB8=</t>
  </si>
  <si>
    <t>R² =</t>
  </si>
  <si>
    <t>Hba (m)</t>
  </si>
  <si>
    <t>Hest =</t>
  </si>
  <si>
    <r>
      <t>k</t>
    </r>
    <r>
      <rPr>
        <sz val="8"/>
        <color indexed="10"/>
        <rFont val="Arial"/>
        <family val="0"/>
      </rPr>
      <t>1</t>
    </r>
    <r>
      <rPr>
        <sz val="10"/>
        <color indexed="10"/>
        <rFont val="Arial"/>
        <family val="0"/>
      </rPr>
      <t xml:space="preserve"> =</t>
    </r>
  </si>
  <si>
    <t>s²/m^5</t>
  </si>
  <si>
    <t>DN</t>
  </si>
  <si>
    <t>2"</t>
  </si>
  <si>
    <t>1,5"</t>
  </si>
  <si>
    <t>1"</t>
  </si>
  <si>
    <t>Dint (mm)</t>
  </si>
  <si>
    <r>
      <t>k</t>
    </r>
    <r>
      <rPr>
        <sz val="8"/>
        <color indexed="10"/>
        <rFont val="Arial"/>
        <family val="0"/>
      </rPr>
      <t>2</t>
    </r>
    <r>
      <rPr>
        <sz val="10"/>
        <color indexed="10"/>
        <rFont val="Arial"/>
        <family val="0"/>
      </rPr>
      <t xml:space="preserve"> =</t>
    </r>
  </si>
  <si>
    <r>
      <t>k</t>
    </r>
    <r>
      <rPr>
        <sz val="8"/>
        <color indexed="10"/>
        <rFont val="Arial"/>
        <family val="0"/>
      </rPr>
      <t>3</t>
    </r>
    <r>
      <rPr>
        <sz val="10"/>
        <color indexed="10"/>
        <rFont val="Arial"/>
        <family val="0"/>
      </rPr>
      <t xml:space="preserve"> =</t>
    </r>
  </si>
  <si>
    <r>
      <t>k</t>
    </r>
    <r>
      <rPr>
        <sz val="8"/>
        <color indexed="10"/>
        <rFont val="Arial"/>
        <family val="0"/>
      </rPr>
      <t>4</t>
    </r>
    <r>
      <rPr>
        <sz val="10"/>
        <color indexed="10"/>
        <rFont val="Arial"/>
        <family val="0"/>
      </rPr>
      <t xml:space="preserve"> =</t>
    </r>
  </si>
  <si>
    <t>2" na sucção</t>
  </si>
  <si>
    <t>2" no recalque</t>
  </si>
  <si>
    <t>Hs =</t>
  </si>
  <si>
    <t>. +</t>
  </si>
  <si>
    <r>
      <t>f</t>
    </r>
    <r>
      <rPr>
        <sz val="8"/>
        <color indexed="10"/>
        <rFont val="Arial"/>
        <family val="0"/>
      </rPr>
      <t xml:space="preserve">2" </t>
    </r>
    <r>
      <rPr>
        <sz val="10"/>
        <color indexed="10"/>
        <rFont val="Arial"/>
        <family val="2"/>
      </rPr>
      <t>*</t>
    </r>
  </si>
  <si>
    <r>
      <t>f</t>
    </r>
    <r>
      <rPr>
        <sz val="8"/>
        <color indexed="10"/>
        <rFont val="Arial"/>
        <family val="0"/>
      </rPr>
      <t xml:space="preserve">1,5" </t>
    </r>
    <r>
      <rPr>
        <sz val="10"/>
        <color indexed="10"/>
        <rFont val="Arial"/>
        <family val="2"/>
      </rPr>
      <t>*</t>
    </r>
  </si>
  <si>
    <r>
      <t>f</t>
    </r>
    <r>
      <rPr>
        <sz val="8"/>
        <color indexed="10"/>
        <rFont val="Arial"/>
        <family val="0"/>
      </rPr>
      <t xml:space="preserve">1" </t>
    </r>
    <r>
      <rPr>
        <sz val="10"/>
        <color indexed="10"/>
        <rFont val="Arial"/>
        <family val="2"/>
      </rPr>
      <t>*</t>
    </r>
  </si>
  <si>
    <t xml:space="preserve">* Q² </t>
  </si>
  <si>
    <t>Cálculo do coeficiente de perda de carga distribuída para o escoamento laminar e para regime hidraulicamente rugoso (neste caso método iterativo)</t>
  </si>
  <si>
    <t>DH</t>
  </si>
  <si>
    <t>n</t>
  </si>
  <si>
    <t>m²/s</t>
  </si>
  <si>
    <t>K</t>
  </si>
  <si>
    <t>Xo</t>
  </si>
  <si>
    <t>-</t>
  </si>
  <si>
    <t>F</t>
  </si>
  <si>
    <t>ensaios</t>
  </si>
  <si>
    <t>Re</t>
  </si>
  <si>
    <t>f</t>
  </si>
  <si>
    <t>A1</t>
  </si>
  <si>
    <t>X1</t>
  </si>
  <si>
    <t>Xo-X1</t>
  </si>
  <si>
    <t>f1</t>
  </si>
  <si>
    <t>A2</t>
  </si>
  <si>
    <t>X2</t>
  </si>
  <si>
    <t>X1-X2</t>
  </si>
  <si>
    <t>f2</t>
  </si>
  <si>
    <t>A3</t>
  </si>
  <si>
    <t>X3</t>
  </si>
  <si>
    <t>X2-X3</t>
  </si>
  <si>
    <t>f3</t>
  </si>
  <si>
    <t>A4</t>
  </si>
  <si>
    <t>X4</t>
  </si>
  <si>
    <t>X3-X4</t>
  </si>
  <si>
    <t>f4</t>
  </si>
  <si>
    <t>A5</t>
  </si>
  <si>
    <t>X5</t>
  </si>
  <si>
    <t>X4-X5</t>
  </si>
  <si>
    <t>f5</t>
  </si>
  <si>
    <t>A6</t>
  </si>
  <si>
    <t>X6</t>
  </si>
  <si>
    <t>X5-X6</t>
  </si>
  <si>
    <t>f6</t>
  </si>
  <si>
    <t>A7</t>
  </si>
  <si>
    <t>X7</t>
  </si>
  <si>
    <t>X6-X7</t>
  </si>
  <si>
    <t>f7</t>
  </si>
  <si>
    <t>valor</t>
  </si>
  <si>
    <t>Q (l/s)</t>
  </si>
  <si>
    <t>Hsa (m)</t>
  </si>
  <si>
    <t>CCBa</t>
  </si>
  <si>
    <t>CCIa</t>
  </si>
  <si>
    <t>HBa =</t>
  </si>
  <si>
    <t>Hsa =</t>
  </si>
  <si>
    <t>. O =</t>
  </si>
  <si>
    <t>Qa =</t>
  </si>
  <si>
    <t>m³/h</t>
  </si>
  <si>
    <t xml:space="preserve">NPSHreq = </t>
  </si>
  <si>
    <r>
      <t>Z</t>
    </r>
    <r>
      <rPr>
        <sz val="8"/>
        <color indexed="10"/>
        <rFont val="Arial"/>
        <family val="0"/>
      </rPr>
      <t>0</t>
    </r>
    <r>
      <rPr>
        <sz val="10"/>
        <color indexed="10"/>
        <rFont val="Arial"/>
        <family val="0"/>
      </rPr>
      <t xml:space="preserve"> =</t>
    </r>
  </si>
  <si>
    <r>
      <t>p</t>
    </r>
    <r>
      <rPr>
        <sz val="8"/>
        <color indexed="10"/>
        <rFont val="Arial"/>
        <family val="0"/>
      </rPr>
      <t>0</t>
    </r>
    <r>
      <rPr>
        <sz val="10"/>
        <color indexed="10"/>
        <rFont val="Arial"/>
        <family val="0"/>
      </rPr>
      <t xml:space="preserve"> abs =</t>
    </r>
  </si>
  <si>
    <t>Pa</t>
  </si>
  <si>
    <t>Hpab =</t>
  </si>
  <si>
    <t>NPSHdisp =</t>
  </si>
  <si>
    <t>f2" =</t>
  </si>
  <si>
    <t>Reserva contra a cavitação</t>
  </si>
  <si>
    <t>portanto não cavita</t>
  </si>
  <si>
    <r>
      <t>h</t>
    </r>
    <r>
      <rPr>
        <sz val="10"/>
        <color indexed="18"/>
        <rFont val="Arial"/>
        <family val="0"/>
      </rPr>
      <t>B8 (%)</t>
    </r>
  </si>
  <si>
    <r>
      <t>h</t>
    </r>
    <r>
      <rPr>
        <sz val="10"/>
        <color indexed="18"/>
        <rFont val="Arial"/>
        <family val="0"/>
      </rPr>
      <t>B7 (%)</t>
    </r>
  </si>
  <si>
    <r>
      <t>h</t>
    </r>
    <r>
      <rPr>
        <sz val="10"/>
        <color indexed="10"/>
        <rFont val="Arial"/>
        <family val="0"/>
      </rPr>
      <t>B8 =</t>
    </r>
  </si>
  <si>
    <t>4. Verificar o fenômeno de cavitação para o ponto de trabalho obtido no item anterior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</si>
</sst>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3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0"/>
      <name val="Arial"/>
      <family val="0"/>
    </font>
    <font>
      <vertAlign val="superscript"/>
      <sz val="10"/>
      <color indexed="62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vertAlign val="superscript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Symbol"/>
      <family val="1"/>
    </font>
    <font>
      <b/>
      <sz val="10"/>
      <name val="Symbol"/>
      <family val="1"/>
    </font>
    <font>
      <b/>
      <sz val="10"/>
      <color indexed="57"/>
      <name val="Arial"/>
      <family val="2"/>
    </font>
    <font>
      <sz val="10"/>
      <color indexed="14"/>
      <name val="Arial"/>
      <family val="2"/>
    </font>
    <font>
      <vertAlign val="superscript"/>
      <sz val="10"/>
      <color indexed="14"/>
      <name val="Arial"/>
      <family val="2"/>
    </font>
    <font>
      <vertAlign val="superscript"/>
      <sz val="10"/>
      <color indexed="18"/>
      <name val="Arial"/>
      <family val="2"/>
    </font>
    <font>
      <sz val="10"/>
      <color indexed="13"/>
      <name val="Arial"/>
      <family val="2"/>
    </font>
    <font>
      <vertAlign val="superscript"/>
      <sz val="10"/>
      <color indexed="13"/>
      <name val="Arial"/>
      <family val="2"/>
    </font>
    <font>
      <sz val="10"/>
      <color indexed="18"/>
      <name val="Symbol"/>
      <family val="1"/>
    </font>
    <font>
      <sz val="10"/>
      <color indexed="36"/>
      <name val="Arial"/>
      <family val="2"/>
    </font>
    <font>
      <vertAlign val="superscript"/>
      <sz val="10"/>
      <color indexed="36"/>
      <name val="Arial"/>
      <family val="2"/>
    </font>
    <font>
      <b/>
      <sz val="10"/>
      <color indexed="15"/>
      <name val="Arial"/>
      <family val="2"/>
    </font>
    <font>
      <b/>
      <vertAlign val="superscript"/>
      <sz val="10"/>
      <color indexed="15"/>
      <name val="Arial"/>
      <family val="2"/>
    </font>
    <font>
      <sz val="10"/>
      <color indexed="60"/>
      <name val="Arial"/>
      <family val="2"/>
    </font>
    <font>
      <vertAlign val="superscript"/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71" fontId="0" fillId="0" borderId="0" xfId="0" applyNumberFormat="1" applyAlignment="1">
      <alignment horizontal="center"/>
    </xf>
    <xf numFmtId="0" fontId="11" fillId="2" borderId="0" xfId="0" applyFont="1" applyFill="1" applyAlignment="1">
      <alignment horizontal="center"/>
    </xf>
    <xf numFmtId="171" fontId="11" fillId="2" borderId="0" xfId="0" applyNumberFormat="1" applyFont="1" applyFill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2" xfId="0" applyFont="1" applyBorder="1" applyAlignment="1">
      <alignment horizontal="center"/>
    </xf>
    <xf numFmtId="11" fontId="18" fillId="0" borderId="2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49" fontId="14" fillId="5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wrapText="1"/>
    </xf>
    <xf numFmtId="2" fontId="22" fillId="6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1" fontId="7" fillId="4" borderId="2" xfId="0" applyNumberFormat="1" applyFont="1" applyFill="1" applyBorder="1" applyAlignment="1">
      <alignment horizontal="center"/>
    </xf>
    <xf numFmtId="171" fontId="22" fillId="6" borderId="2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Gabarito!$R$39</c:f>
              <c:strCache>
                <c:ptCount val="1"/>
                <c:pt idx="0">
                  <c:v>NPSHreq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Gabarito!$M$41:$M$48</c:f>
              <c:numCache>
                <c:ptCount val="8"/>
                <c:pt idx="0">
                  <c:v>5.005347593582887</c:v>
                </c:pt>
                <c:pt idx="1">
                  <c:v>8.132395531650808</c:v>
                </c:pt>
                <c:pt idx="2">
                  <c:v>10.328954282711509</c:v>
                </c:pt>
                <c:pt idx="3">
                  <c:v>11.79124175164967</c:v>
                </c:pt>
                <c:pt idx="4">
                  <c:v>13.112741827885257</c:v>
                </c:pt>
                <c:pt idx="5">
                  <c:v>14.050035739814152</c:v>
                </c:pt>
                <c:pt idx="6">
                  <c:v>15.392325763508223</c:v>
                </c:pt>
                <c:pt idx="7">
                  <c:v>15.513812154696133</c:v>
                </c:pt>
              </c:numCache>
            </c:numRef>
          </c:xVal>
          <c:yVal>
            <c:numRef>
              <c:f>Gabarito!$R$41:$R$48</c:f>
              <c:numCache>
                <c:ptCount val="8"/>
                <c:pt idx="0">
                  <c:v>6.99886102059906</c:v>
                </c:pt>
                <c:pt idx="1">
                  <c:v>7.366292940890459</c:v>
                </c:pt>
                <c:pt idx="2">
                  <c:v>7.186130199614537</c:v>
                </c:pt>
                <c:pt idx="3">
                  <c:v>6.987144249562509</c:v>
                </c:pt>
                <c:pt idx="4">
                  <c:v>6.652859157009636</c:v>
                </c:pt>
                <c:pt idx="5">
                  <c:v>6.3014811027514845</c:v>
                </c:pt>
                <c:pt idx="6">
                  <c:v>6.39214102431884</c:v>
                </c:pt>
                <c:pt idx="7">
                  <c:v>6.1275659376877</c:v>
                </c:pt>
              </c:numCache>
            </c:numRef>
          </c:yVal>
          <c:smooth val="0"/>
        </c:ser>
        <c:axId val="33940659"/>
        <c:axId val="37030476"/>
      </c:scatterChart>
      <c:valAx>
        <c:axId val="3394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Q(m³/h)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37030476"/>
        <c:crosses val="autoZero"/>
        <c:crossBetween val="midCat"/>
        <c:dispUnits/>
      </c:valAx>
      <c:valAx>
        <c:axId val="3703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NPSHreq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33940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CCB da B8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8"/>
          <c:w val="0.95175"/>
          <c:h val="0.7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Gabarito!$K$53</c:f>
              <c:strCache>
                <c:ptCount val="1"/>
                <c:pt idx="0">
                  <c:v>HB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intercept val="2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Gabarito!$J$54:$J$64</c:f>
              <c:numCache>
                <c:ptCount val="11"/>
                <c:pt idx="0">
                  <c:v>0</c:v>
                </c:pt>
                <c:pt idx="1">
                  <c:v>2.8</c:v>
                </c:pt>
                <c:pt idx="2">
                  <c:v>4</c:v>
                </c:pt>
                <c:pt idx="3">
                  <c:v>4.8</c:v>
                </c:pt>
                <c:pt idx="4">
                  <c:v>5.8</c:v>
                </c:pt>
                <c:pt idx="5">
                  <c:v>6.8</c:v>
                </c:pt>
                <c:pt idx="6">
                  <c:v>7.2</c:v>
                </c:pt>
                <c:pt idx="7">
                  <c:v>9</c:v>
                </c:pt>
                <c:pt idx="8">
                  <c:v>9.5</c:v>
                </c:pt>
                <c:pt idx="9">
                  <c:v>10.3</c:v>
                </c:pt>
                <c:pt idx="10">
                  <c:v>10.8</c:v>
                </c:pt>
              </c:numCache>
            </c:numRef>
          </c:xVal>
          <c:yVal>
            <c:numRef>
              <c:f>Gabarito!$K$54:$K$64</c:f>
              <c:numCache>
                <c:ptCount val="11"/>
                <c:pt idx="0">
                  <c:v>26</c:v>
                </c:pt>
                <c:pt idx="1">
                  <c:v>25.95</c:v>
                </c:pt>
                <c:pt idx="2">
                  <c:v>25.9</c:v>
                </c:pt>
                <c:pt idx="3">
                  <c:v>25.5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20.5</c:v>
                </c:pt>
                <c:pt idx="8">
                  <c:v>18.7</c:v>
                </c:pt>
                <c:pt idx="9">
                  <c:v>16.5</c:v>
                </c:pt>
                <c:pt idx="10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v>rendimento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Gabarito!$J$55:$J$64</c:f>
              <c:numCache>
                <c:ptCount val="10"/>
                <c:pt idx="0">
                  <c:v>2.8</c:v>
                </c:pt>
                <c:pt idx="1">
                  <c:v>4</c:v>
                </c:pt>
                <c:pt idx="2">
                  <c:v>4.8</c:v>
                </c:pt>
                <c:pt idx="3">
                  <c:v>5.8</c:v>
                </c:pt>
                <c:pt idx="4">
                  <c:v>6.8</c:v>
                </c:pt>
                <c:pt idx="5">
                  <c:v>7.2</c:v>
                </c:pt>
                <c:pt idx="6">
                  <c:v>9</c:v>
                </c:pt>
                <c:pt idx="7">
                  <c:v>9.5</c:v>
                </c:pt>
                <c:pt idx="8">
                  <c:v>10.3</c:v>
                </c:pt>
                <c:pt idx="9">
                  <c:v>10.8</c:v>
                </c:pt>
              </c:numCache>
            </c:numRef>
          </c:xVal>
          <c:yVal>
            <c:numRef>
              <c:f>Gabarito!$L$55:$L$64</c:f>
              <c:numCache>
                <c:ptCount val="10"/>
                <c:pt idx="0">
                  <c:v>45</c:v>
                </c:pt>
                <c:pt idx="1">
                  <c:v>49.5</c:v>
                </c:pt>
                <c:pt idx="2">
                  <c:v>52</c:v>
                </c:pt>
                <c:pt idx="3">
                  <c:v>54</c:v>
                </c:pt>
                <c:pt idx="4">
                  <c:v>55.3</c:v>
                </c:pt>
                <c:pt idx="5">
                  <c:v>56</c:v>
                </c:pt>
                <c:pt idx="6">
                  <c:v>54.7</c:v>
                </c:pt>
                <c:pt idx="7">
                  <c:v>54</c:v>
                </c:pt>
                <c:pt idx="8">
                  <c:v>52</c:v>
                </c:pt>
                <c:pt idx="9">
                  <c:v>49.5</c:v>
                </c:pt>
              </c:numCache>
            </c:numRef>
          </c:yVal>
          <c:smooth val="0"/>
        </c:ser>
        <c:axId val="64838829"/>
        <c:axId val="46678550"/>
      </c:scatterChart>
      <c:valAx>
        <c:axId val="6483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Q(m³/h)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46678550"/>
        <c:crosses val="autoZero"/>
        <c:crossBetween val="midCat"/>
        <c:dispUnits/>
      </c:valAx>
      <c:valAx>
        <c:axId val="46678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HB8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64838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Associação série B7 e B8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"/>
          <c:w val="0.950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Gabarito!$C$53</c:f>
              <c:strCache>
                <c:ptCount val="1"/>
                <c:pt idx="0">
                  <c:v>HB7(m)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poly"/>
            <c:order val="2"/>
            <c:intercept val="38.7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Gabarito!$B$54:$B$62</c:f>
              <c:numCache>
                <c:ptCount val="9"/>
                <c:pt idx="0">
                  <c:v>0</c:v>
                </c:pt>
                <c:pt idx="1">
                  <c:v>7</c:v>
                </c:pt>
                <c:pt idx="2">
                  <c:v>9.6</c:v>
                </c:pt>
                <c:pt idx="3">
                  <c:v>10.5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12.5</c:v>
                </c:pt>
                <c:pt idx="8">
                  <c:v>12.8</c:v>
                </c:pt>
              </c:numCache>
            </c:numRef>
          </c:xVal>
          <c:yVal>
            <c:numRef>
              <c:f>Gabarito!$C$54:$C$62</c:f>
              <c:numCache>
                <c:ptCount val="9"/>
                <c:pt idx="0">
                  <c:v>38.75</c:v>
                </c:pt>
                <c:pt idx="1">
                  <c:v>35</c:v>
                </c:pt>
                <c:pt idx="2">
                  <c:v>30</c:v>
                </c:pt>
                <c:pt idx="3">
                  <c:v>28</c:v>
                </c:pt>
                <c:pt idx="4">
                  <c:v>26</c:v>
                </c:pt>
                <c:pt idx="5">
                  <c:v>24</c:v>
                </c:pt>
                <c:pt idx="6">
                  <c:v>22</c:v>
                </c:pt>
                <c:pt idx="7">
                  <c:v>20</c:v>
                </c:pt>
                <c:pt idx="8">
                  <c:v>18</c:v>
                </c:pt>
              </c:numCache>
            </c:numRef>
          </c:yVal>
          <c:smooth val="0"/>
        </c:ser>
        <c:ser>
          <c:idx val="1"/>
          <c:order val="1"/>
          <c:tx>
            <c:v>HB8(m)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intercept val="2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Gabarito!$B$54:$B$62</c:f>
              <c:numCache>
                <c:ptCount val="9"/>
                <c:pt idx="0">
                  <c:v>0</c:v>
                </c:pt>
                <c:pt idx="1">
                  <c:v>7</c:v>
                </c:pt>
                <c:pt idx="2">
                  <c:v>9.6</c:v>
                </c:pt>
                <c:pt idx="3">
                  <c:v>10.5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12.5</c:v>
                </c:pt>
                <c:pt idx="8">
                  <c:v>12.8</c:v>
                </c:pt>
              </c:numCache>
            </c:numRef>
          </c:xVal>
          <c:yVal>
            <c:numRef>
              <c:f>Gabarito!$D$54:$D$62</c:f>
              <c:numCache>
                <c:ptCount val="9"/>
                <c:pt idx="0">
                  <c:v>26</c:v>
                </c:pt>
                <c:pt idx="1">
                  <c:v>23.2245</c:v>
                </c:pt>
                <c:pt idx="2">
                  <c:v>18.155072</c:v>
                </c:pt>
                <c:pt idx="3">
                  <c:v>15.8906</c:v>
                </c:pt>
                <c:pt idx="4">
                  <c:v>14.5193</c:v>
                </c:pt>
                <c:pt idx="5">
                  <c:v>13.067099999999998</c:v>
                </c:pt>
                <c:pt idx="6">
                  <c:v>11.534</c:v>
                </c:pt>
                <c:pt idx="7">
                  <c:v>9.920000000000002</c:v>
                </c:pt>
                <c:pt idx="8">
                  <c:v>8.912767999999993</c:v>
                </c:pt>
              </c:numCache>
            </c:numRef>
          </c:yVal>
          <c:smooth val="0"/>
        </c:ser>
        <c:ser>
          <c:idx val="2"/>
          <c:order val="2"/>
          <c:tx>
            <c:v>Série B7 e B8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poly"/>
            <c:order val="2"/>
            <c:intercept val="64.7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0080"/>
                </a:solidFill>
                <a:ln w="3175">
                  <a:noFill/>
                </a:ln>
              </c:spPr>
            </c:trendlineLbl>
          </c:trendline>
          <c:xVal>
            <c:numRef>
              <c:f>Gabarito!$B$54:$B$63</c:f>
              <c:numCache>
                <c:ptCount val="10"/>
                <c:pt idx="0">
                  <c:v>0</c:v>
                </c:pt>
                <c:pt idx="1">
                  <c:v>7</c:v>
                </c:pt>
                <c:pt idx="2">
                  <c:v>9.6</c:v>
                </c:pt>
                <c:pt idx="3">
                  <c:v>10.5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12.5</c:v>
                </c:pt>
                <c:pt idx="8">
                  <c:v>12.8</c:v>
                </c:pt>
                <c:pt idx="9">
                  <c:v>14</c:v>
                </c:pt>
              </c:numCache>
            </c:numRef>
          </c:xVal>
          <c:yVal>
            <c:numRef>
              <c:f>Gabarito!$E$54:$E$63</c:f>
              <c:numCache>
                <c:ptCount val="10"/>
                <c:pt idx="0">
                  <c:v>64.75</c:v>
                </c:pt>
                <c:pt idx="1">
                  <c:v>58.2245</c:v>
                </c:pt>
                <c:pt idx="2">
                  <c:v>48.155072000000004</c:v>
                </c:pt>
                <c:pt idx="3">
                  <c:v>43.8906</c:v>
                </c:pt>
                <c:pt idx="4">
                  <c:v>40.5193</c:v>
                </c:pt>
                <c:pt idx="5">
                  <c:v>37.067099999999996</c:v>
                </c:pt>
                <c:pt idx="6">
                  <c:v>33.534</c:v>
                </c:pt>
                <c:pt idx="7">
                  <c:v>29.92</c:v>
                </c:pt>
                <c:pt idx="8">
                  <c:v>26.912767999999993</c:v>
                </c:pt>
                <c:pt idx="9">
                  <c:v>18.232200000000006</c:v>
                </c:pt>
              </c:numCache>
            </c:numRef>
          </c:yVal>
          <c:smooth val="0"/>
        </c:ser>
        <c:ser>
          <c:idx val="4"/>
          <c:order val="3"/>
          <c:tx>
            <c:v>rendimento B8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spPr>
              <a:ln w="12700">
                <a:solidFill>
                  <a:srgbClr val="80008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Gabarito!$B$55:$B$63</c:f>
              <c:numCache>
                <c:ptCount val="9"/>
                <c:pt idx="0">
                  <c:v>7</c:v>
                </c:pt>
                <c:pt idx="1">
                  <c:v>9.6</c:v>
                </c:pt>
                <c:pt idx="2">
                  <c:v>10.5</c:v>
                </c:pt>
                <c:pt idx="3">
                  <c:v>11</c:v>
                </c:pt>
                <c:pt idx="4">
                  <c:v>11.5</c:v>
                </c:pt>
                <c:pt idx="5">
                  <c:v>12</c:v>
                </c:pt>
                <c:pt idx="6">
                  <c:v>12.5</c:v>
                </c:pt>
                <c:pt idx="7">
                  <c:v>12.8</c:v>
                </c:pt>
                <c:pt idx="8">
                  <c:v>14</c:v>
                </c:pt>
              </c:numCache>
            </c:numRef>
          </c:xVal>
          <c:yVal>
            <c:numRef>
              <c:f>Gabarito!$G$55:$G$63</c:f>
              <c:numCache>
                <c:ptCount val="9"/>
                <c:pt idx="0">
                  <c:v>55.6195</c:v>
                </c:pt>
                <c:pt idx="1">
                  <c:v>53.432016000000004</c:v>
                </c:pt>
                <c:pt idx="2">
                  <c:v>51.0828</c:v>
                </c:pt>
                <c:pt idx="3">
                  <c:v>49.4239</c:v>
                </c:pt>
                <c:pt idx="4">
                  <c:v>47.51230000000002</c:v>
                </c:pt>
                <c:pt idx="5">
                  <c:v>45.348000000000006</c:v>
                </c:pt>
                <c:pt idx="6">
                  <c:v>42.931000000000004</c:v>
                </c:pt>
                <c:pt idx="7">
                  <c:v>41.35950400000001</c:v>
                </c:pt>
                <c:pt idx="8">
                  <c:v>34.163800000000016</c:v>
                </c:pt>
              </c:numCache>
            </c:numRef>
          </c:yVal>
          <c:smooth val="0"/>
        </c:ser>
        <c:ser>
          <c:idx val="3"/>
          <c:order val="4"/>
          <c:tx>
            <c:v>rendimento B7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spPr>
              <a:ln w="12700">
                <a:solidFill>
                  <a:srgbClr val="00FF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Gabarito!$B$55:$B$63</c:f>
              <c:numCache>
                <c:ptCount val="9"/>
                <c:pt idx="0">
                  <c:v>7</c:v>
                </c:pt>
                <c:pt idx="1">
                  <c:v>9.6</c:v>
                </c:pt>
                <c:pt idx="2">
                  <c:v>10.5</c:v>
                </c:pt>
                <c:pt idx="3">
                  <c:v>11</c:v>
                </c:pt>
                <c:pt idx="4">
                  <c:v>11.5</c:v>
                </c:pt>
                <c:pt idx="5">
                  <c:v>12</c:v>
                </c:pt>
                <c:pt idx="6">
                  <c:v>12.5</c:v>
                </c:pt>
                <c:pt idx="7">
                  <c:v>12.8</c:v>
                </c:pt>
                <c:pt idx="8">
                  <c:v>14</c:v>
                </c:pt>
              </c:numCache>
            </c:numRef>
          </c:xVal>
          <c:yVal>
            <c:numRef>
              <c:f>Gabarito!$F$55:$F$63</c:f>
              <c:numCache>
                <c:ptCount val="9"/>
                <c:pt idx="0">
                  <c:v>47</c:v>
                </c:pt>
                <c:pt idx="1">
                  <c:v>56.2</c:v>
                </c:pt>
                <c:pt idx="2">
                  <c:v>56.5</c:v>
                </c:pt>
                <c:pt idx="3">
                  <c:v>55.7</c:v>
                </c:pt>
                <c:pt idx="4">
                  <c:v>55.2</c:v>
                </c:pt>
                <c:pt idx="5">
                  <c:v>54</c:v>
                </c:pt>
                <c:pt idx="6">
                  <c:v>52</c:v>
                </c:pt>
                <c:pt idx="7">
                  <c:v>49.5</c:v>
                </c:pt>
                <c:pt idx="8">
                  <c:v>41.82620000000001</c:v>
                </c:pt>
              </c:numCache>
            </c:numRef>
          </c:yVal>
          <c:smooth val="0"/>
        </c:ser>
        <c:ser>
          <c:idx val="5"/>
          <c:order val="5"/>
          <c:tx>
            <c:v>CCI da associação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spPr>
              <a:ln w="12700">
                <a:solidFill>
                  <a:srgbClr val="993300"/>
                </a:solidFill>
              </a:ln>
            </c:spPr>
            <c:trendlineType val="poly"/>
            <c:order val="2"/>
            <c:intercept val="1.2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Gabarito!$B$84:$B$93</c:f>
              <c:numCache>
                <c:ptCount val="10"/>
                <c:pt idx="0">
                  <c:v>0</c:v>
                </c:pt>
                <c:pt idx="1">
                  <c:v>7</c:v>
                </c:pt>
                <c:pt idx="2">
                  <c:v>9.6</c:v>
                </c:pt>
                <c:pt idx="3">
                  <c:v>10.5</c:v>
                </c:pt>
                <c:pt idx="4">
                  <c:v>11</c:v>
                </c:pt>
                <c:pt idx="5">
                  <c:v>11.5</c:v>
                </c:pt>
                <c:pt idx="6">
                  <c:v>12</c:v>
                </c:pt>
                <c:pt idx="7">
                  <c:v>12.5</c:v>
                </c:pt>
                <c:pt idx="8">
                  <c:v>12.8</c:v>
                </c:pt>
                <c:pt idx="9">
                  <c:v>14</c:v>
                </c:pt>
              </c:numCache>
            </c:numRef>
          </c:xVal>
          <c:yVal>
            <c:numRef>
              <c:f>Gabarito!$C$84:$C$93</c:f>
              <c:numCache>
                <c:ptCount val="10"/>
                <c:pt idx="0">
                  <c:v>1.26</c:v>
                </c:pt>
                <c:pt idx="1">
                  <c:v>6.842755104354014</c:v>
                </c:pt>
                <c:pt idx="2">
                  <c:v>11.444551157589212</c:v>
                </c:pt>
                <c:pt idx="3">
                  <c:v>13.350907710737834</c:v>
                </c:pt>
                <c:pt idx="4">
                  <c:v>14.479535283255052</c:v>
                </c:pt>
                <c:pt idx="5">
                  <c:v>15.657807945320695</c:v>
                </c:pt>
                <c:pt idx="6">
                  <c:v>16.885707624037284</c:v>
                </c:pt>
                <c:pt idx="7">
                  <c:v>18.163218344978052</c:v>
                </c:pt>
                <c:pt idx="8">
                  <c:v>18.953532117664547</c:v>
                </c:pt>
                <c:pt idx="9">
                  <c:v>22.293282652489566</c:v>
                </c:pt>
              </c:numCache>
            </c:numRef>
          </c:yVal>
          <c:smooth val="0"/>
        </c:ser>
        <c:axId val="17453767"/>
        <c:axId val="22866176"/>
      </c:scatterChart>
      <c:valAx>
        <c:axId val="1745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Q(m³/h)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22866176"/>
        <c:crosses val="autoZero"/>
        <c:crossBetween val="midCat"/>
        <c:dispUnits/>
      </c:valAx>
      <c:valAx>
        <c:axId val="2286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HB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17453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14</xdr:row>
      <xdr:rowOff>9525</xdr:rowOff>
    </xdr:from>
    <xdr:to>
      <xdr:col>18</xdr:col>
      <xdr:colOff>504825</xdr:colOff>
      <xdr:row>35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276475"/>
          <a:ext cx="4572000" cy="3429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workbookViewId="0" topLeftCell="A1">
      <selection activeCell="P93" sqref="P93"/>
    </sheetView>
  </sheetViews>
  <sheetFormatPr defaultColWidth="9.140625" defaultRowHeight="12.75"/>
  <cols>
    <col min="2" max="2" width="10.57421875" style="0" customWidth="1"/>
    <col min="15" max="15" width="10.00390625" style="0" customWidth="1"/>
    <col min="16" max="16" width="9.7109375" style="3" customWidth="1"/>
    <col min="17" max="17" width="9.140625" style="3" customWidth="1"/>
  </cols>
  <sheetData>
    <row r="1" spans="1:19" ht="12.75">
      <c r="A1" s="2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7"/>
      <c r="R1" s="6"/>
      <c r="S1" s="6"/>
    </row>
    <row r="2" spans="1:19" ht="12.75">
      <c r="A2" s="6"/>
      <c r="B2" s="42" t="s">
        <v>1</v>
      </c>
      <c r="C2" s="42"/>
      <c r="D2" s="3">
        <v>700</v>
      </c>
      <c r="E2" s="2" t="s">
        <v>2</v>
      </c>
      <c r="F2" s="6"/>
      <c r="G2" s="42" t="s">
        <v>3</v>
      </c>
      <c r="H2" s="42"/>
      <c r="I2" s="6"/>
      <c r="J2" s="6"/>
      <c r="K2" s="6"/>
      <c r="L2" s="6"/>
      <c r="M2" s="6"/>
      <c r="N2" s="6"/>
      <c r="O2" s="6"/>
      <c r="P2" s="4" t="s">
        <v>21</v>
      </c>
      <c r="Q2" s="2" t="s">
        <v>17</v>
      </c>
      <c r="R2" s="6"/>
      <c r="S2" s="6"/>
    </row>
    <row r="3" spans="1:19" ht="12.75">
      <c r="A3" s="6"/>
      <c r="B3" s="6"/>
      <c r="C3" s="6"/>
      <c r="D3" s="6"/>
      <c r="E3" s="6"/>
      <c r="F3" s="6"/>
      <c r="G3" s="6"/>
      <c r="H3" s="6"/>
      <c r="I3" s="4" t="s">
        <v>5</v>
      </c>
      <c r="J3" s="3">
        <v>995.65</v>
      </c>
      <c r="K3" s="2" t="s">
        <v>4</v>
      </c>
      <c r="L3" s="6"/>
      <c r="M3" s="42" t="s">
        <v>16</v>
      </c>
      <c r="N3" s="42"/>
      <c r="O3" s="42"/>
      <c r="P3" s="3">
        <v>22.98</v>
      </c>
      <c r="Q3" s="3">
        <v>1.735</v>
      </c>
      <c r="R3" s="6"/>
      <c r="S3" s="6"/>
    </row>
    <row r="4" spans="1:19" ht="12.75">
      <c r="A4" s="6"/>
      <c r="B4" s="6"/>
      <c r="C4" s="2" t="s">
        <v>10</v>
      </c>
      <c r="D4" s="3">
        <v>9.8</v>
      </c>
      <c r="E4" s="2" t="s">
        <v>11</v>
      </c>
      <c r="F4" s="6"/>
      <c r="G4" s="6"/>
      <c r="H4" s="6"/>
      <c r="I4" s="6"/>
      <c r="J4" s="6"/>
      <c r="K4" s="6"/>
      <c r="L4" s="6"/>
      <c r="M4" s="42" t="s">
        <v>18</v>
      </c>
      <c r="N4" s="42"/>
      <c r="O4" s="42"/>
      <c r="P4" s="3">
        <v>0.6</v>
      </c>
      <c r="Q4" s="3">
        <v>0</v>
      </c>
      <c r="R4" s="6"/>
      <c r="S4" s="6"/>
    </row>
    <row r="5" spans="1:19" ht="12.75">
      <c r="A5" s="6"/>
      <c r="B5" s="6"/>
      <c r="C5" s="6"/>
      <c r="D5" s="6"/>
      <c r="E5" s="6"/>
      <c r="F5" s="6"/>
      <c r="G5" s="6"/>
      <c r="H5" s="6"/>
      <c r="I5" s="4" t="s">
        <v>7</v>
      </c>
      <c r="J5" s="3">
        <v>0.000788</v>
      </c>
      <c r="K5" s="2" t="s">
        <v>6</v>
      </c>
      <c r="L5" s="6"/>
      <c r="M5" s="42" t="s">
        <v>19</v>
      </c>
      <c r="N5" s="42"/>
      <c r="O5" s="42"/>
      <c r="P5" s="3">
        <v>59.6</v>
      </c>
      <c r="Q5" s="3">
        <v>5.655</v>
      </c>
      <c r="R5" s="6"/>
      <c r="S5" s="6"/>
    </row>
    <row r="6" spans="1:19" ht="12.75">
      <c r="A6" s="6"/>
      <c r="B6" s="42" t="s">
        <v>12</v>
      </c>
      <c r="C6" s="42"/>
      <c r="D6" s="42"/>
      <c r="E6" s="6"/>
      <c r="F6" s="6"/>
      <c r="G6" s="6"/>
      <c r="H6" s="6"/>
      <c r="I6" s="6"/>
      <c r="J6" s="6"/>
      <c r="K6" s="6"/>
      <c r="L6" s="6"/>
      <c r="M6" s="42" t="s">
        <v>20</v>
      </c>
      <c r="N6" s="42"/>
      <c r="O6" s="42"/>
      <c r="P6" s="3">
        <v>23.67</v>
      </c>
      <c r="Q6" s="3">
        <v>9.145</v>
      </c>
      <c r="R6" s="6"/>
      <c r="S6" s="6"/>
    </row>
    <row r="7" spans="1:19" ht="12.75">
      <c r="A7" s="6"/>
      <c r="B7" s="6"/>
      <c r="C7" s="6"/>
      <c r="D7" s="6"/>
      <c r="E7" s="2" t="s">
        <v>13</v>
      </c>
      <c r="F7" s="3">
        <v>105</v>
      </c>
      <c r="G7" s="2" t="s">
        <v>14</v>
      </c>
      <c r="H7" s="6"/>
      <c r="I7" s="2" t="s">
        <v>8</v>
      </c>
      <c r="J7" s="3">
        <v>4241.51</v>
      </c>
      <c r="K7" s="2" t="s">
        <v>9</v>
      </c>
      <c r="L7" s="6"/>
      <c r="M7" s="6"/>
      <c r="N7" s="11"/>
      <c r="O7" s="9"/>
      <c r="P7" s="9"/>
      <c r="Q7" s="7"/>
      <c r="R7" s="6"/>
      <c r="S7" s="6"/>
    </row>
    <row r="8" spans="1:19" ht="12.75">
      <c r="A8" s="6"/>
      <c r="B8" s="6"/>
      <c r="C8" s="6"/>
      <c r="D8" s="6"/>
      <c r="E8" s="7"/>
      <c r="F8" s="7"/>
      <c r="G8" s="7"/>
      <c r="H8" s="6"/>
      <c r="I8" s="6"/>
      <c r="J8" s="6"/>
      <c r="K8" s="6"/>
      <c r="L8" s="6"/>
      <c r="M8" s="6"/>
      <c r="N8" s="4" t="s">
        <v>25</v>
      </c>
      <c r="O8" s="2" t="s">
        <v>26</v>
      </c>
      <c r="P8" s="2" t="s">
        <v>27</v>
      </c>
      <c r="Q8" s="7"/>
      <c r="R8" s="6"/>
      <c r="S8" s="6"/>
    </row>
    <row r="9" spans="1:19" ht="12.75">
      <c r="A9" s="2" t="s">
        <v>69</v>
      </c>
      <c r="B9" s="2" t="s">
        <v>73</v>
      </c>
      <c r="C9" s="2" t="s">
        <v>49</v>
      </c>
      <c r="D9" s="9"/>
      <c r="E9" s="2" t="s">
        <v>15</v>
      </c>
      <c r="F9" s="3">
        <v>126</v>
      </c>
      <c r="G9" s="2" t="s">
        <v>14</v>
      </c>
      <c r="H9" s="6"/>
      <c r="I9" s="6"/>
      <c r="J9" s="6"/>
      <c r="K9" s="6"/>
      <c r="L9" s="6"/>
      <c r="M9" s="1" t="s">
        <v>24</v>
      </c>
      <c r="N9" s="10">
        <v>330</v>
      </c>
      <c r="O9" s="10">
        <v>40.8</v>
      </c>
      <c r="P9" s="10">
        <v>40.8</v>
      </c>
      <c r="Q9" s="7"/>
      <c r="R9" s="6"/>
      <c r="S9" s="6"/>
    </row>
    <row r="10" spans="1:19" ht="12.75">
      <c r="A10" s="2" t="s">
        <v>70</v>
      </c>
      <c r="B10" s="10">
        <v>52.5</v>
      </c>
      <c r="C10" s="10">
        <v>21.7</v>
      </c>
      <c r="D10" s="7"/>
      <c r="E10" s="9"/>
      <c r="F10" s="7"/>
      <c r="G10" s="9"/>
      <c r="H10" s="6"/>
      <c r="I10" s="1" t="s">
        <v>28</v>
      </c>
      <c r="J10" s="10">
        <v>0.546</v>
      </c>
      <c r="K10" s="2" t="s">
        <v>29</v>
      </c>
      <c r="L10" s="6"/>
      <c r="M10" s="6"/>
      <c r="N10" s="6"/>
      <c r="O10" s="6"/>
      <c r="P10" s="7"/>
      <c r="Q10" s="7"/>
      <c r="R10" s="6"/>
      <c r="S10" s="6"/>
    </row>
    <row r="11" spans="1:19" ht="12.75">
      <c r="A11" s="2" t="s">
        <v>71</v>
      </c>
      <c r="B11" s="10">
        <v>40.8</v>
      </c>
      <c r="C11" s="10">
        <v>13.1</v>
      </c>
      <c r="D11" s="7"/>
      <c r="E11" s="9"/>
      <c r="F11" s="7"/>
      <c r="G11" s="9"/>
      <c r="H11" s="6"/>
      <c r="I11" s="6"/>
      <c r="J11" s="6"/>
      <c r="K11" s="6"/>
      <c r="L11" s="6"/>
      <c r="M11" s="6"/>
      <c r="N11" s="4" t="s">
        <v>25</v>
      </c>
      <c r="O11" s="2" t="s">
        <v>26</v>
      </c>
      <c r="P11" s="2" t="s">
        <v>27</v>
      </c>
      <c r="Q11" s="7"/>
      <c r="R11" s="6"/>
      <c r="S11" s="6"/>
    </row>
    <row r="12" spans="1:19" ht="12.75">
      <c r="A12" s="2" t="s">
        <v>72</v>
      </c>
      <c r="B12" s="10">
        <v>26.6</v>
      </c>
      <c r="C12" s="10">
        <v>5.57</v>
      </c>
      <c r="D12" s="7"/>
      <c r="E12" s="6"/>
      <c r="F12" s="6"/>
      <c r="G12" s="6"/>
      <c r="H12" s="6"/>
      <c r="I12" s="6"/>
      <c r="J12" s="6"/>
      <c r="K12" s="6"/>
      <c r="L12" s="6"/>
      <c r="M12" s="1" t="s">
        <v>23</v>
      </c>
      <c r="N12" s="10">
        <v>330</v>
      </c>
      <c r="O12" s="10">
        <v>40.8</v>
      </c>
      <c r="P12" s="10">
        <v>26.6</v>
      </c>
      <c r="Q12" s="7"/>
      <c r="R12" s="6"/>
      <c r="S12" s="6"/>
    </row>
    <row r="13" spans="1:19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  <c r="R13" s="6"/>
      <c r="S13" s="6"/>
    </row>
    <row r="14" spans="1:19" ht="12.75">
      <c r="A14" s="42" t="s">
        <v>22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6"/>
      <c r="O14" s="6"/>
      <c r="P14" s="7"/>
      <c r="Q14" s="7"/>
      <c r="R14" s="6"/>
      <c r="S14" s="6"/>
    </row>
    <row r="15" spans="1:19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44"/>
      <c r="M15" s="44"/>
      <c r="N15" s="44"/>
      <c r="O15" s="44"/>
      <c r="P15" s="44"/>
      <c r="Q15" s="44"/>
      <c r="R15" s="44"/>
      <c r="S15" s="44"/>
    </row>
    <row r="16" spans="1:19" ht="12.75">
      <c r="A16" s="6"/>
      <c r="B16" s="2" t="s">
        <v>24</v>
      </c>
      <c r="C16" s="9"/>
      <c r="D16" s="9"/>
      <c r="E16" s="6"/>
      <c r="F16" s="6"/>
      <c r="G16" s="6"/>
      <c r="H16" s="6"/>
      <c r="I16" s="6"/>
      <c r="J16" s="6"/>
      <c r="K16" s="6"/>
      <c r="L16" s="44"/>
      <c r="M16" s="44"/>
      <c r="N16" s="44"/>
      <c r="O16" s="44"/>
      <c r="P16" s="44"/>
      <c r="Q16" s="44"/>
      <c r="R16" s="44"/>
      <c r="S16" s="44"/>
    </row>
    <row r="17" spans="1:19" ht="12.75">
      <c r="A17" s="6"/>
      <c r="B17" s="6"/>
      <c r="C17" s="2" t="s">
        <v>30</v>
      </c>
      <c r="D17" s="3">
        <v>155</v>
      </c>
      <c r="E17" s="2" t="s">
        <v>31</v>
      </c>
      <c r="F17" s="6"/>
      <c r="G17" s="2" t="s">
        <v>35</v>
      </c>
      <c r="H17" s="3">
        <v>0</v>
      </c>
      <c r="I17" s="2" t="s">
        <v>34</v>
      </c>
      <c r="J17" s="2" t="s">
        <v>36</v>
      </c>
      <c r="K17" s="6"/>
      <c r="L17" s="44"/>
      <c r="M17" s="44"/>
      <c r="N17" s="44"/>
      <c r="O17" s="44"/>
      <c r="P17" s="44"/>
      <c r="Q17" s="44"/>
      <c r="R17" s="44"/>
      <c r="S17" s="44"/>
    </row>
    <row r="18" spans="1:19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44"/>
      <c r="M18" s="44"/>
      <c r="N18" s="44"/>
      <c r="O18" s="44"/>
      <c r="P18" s="44"/>
      <c r="Q18" s="44"/>
      <c r="R18" s="44"/>
      <c r="S18" s="44"/>
    </row>
    <row r="19" spans="1:19" ht="12.75">
      <c r="A19" s="6"/>
      <c r="B19" s="2" t="s">
        <v>23</v>
      </c>
      <c r="C19" s="6"/>
      <c r="D19" s="6"/>
      <c r="E19" s="6"/>
      <c r="F19" s="6"/>
      <c r="G19" s="6"/>
      <c r="H19" s="6"/>
      <c r="I19" s="6"/>
      <c r="J19" s="6"/>
      <c r="K19" s="6"/>
      <c r="L19" s="44"/>
      <c r="M19" s="44"/>
      <c r="N19" s="44"/>
      <c r="O19" s="44"/>
      <c r="P19" s="44"/>
      <c r="Q19" s="44"/>
      <c r="R19" s="44"/>
      <c r="S19" s="44"/>
    </row>
    <row r="20" spans="1:19" ht="12.75">
      <c r="A20" s="6"/>
      <c r="B20" s="6"/>
      <c r="C20" s="2" t="s">
        <v>32</v>
      </c>
      <c r="D20" s="3">
        <v>1</v>
      </c>
      <c r="E20" s="2" t="s">
        <v>33</v>
      </c>
      <c r="F20" s="6"/>
      <c r="G20" s="2" t="s">
        <v>37</v>
      </c>
      <c r="H20" s="3">
        <v>-0.33</v>
      </c>
      <c r="I20" s="2" t="s">
        <v>34</v>
      </c>
      <c r="J20" s="6"/>
      <c r="K20" s="6"/>
      <c r="L20" s="44"/>
      <c r="M20" s="44"/>
      <c r="N20" s="44"/>
      <c r="O20" s="44"/>
      <c r="P20" s="44"/>
      <c r="Q20" s="44"/>
      <c r="R20" s="44"/>
      <c r="S20" s="44"/>
    </row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44"/>
      <c r="M21" s="44"/>
      <c r="N21" s="44"/>
      <c r="O21" s="44"/>
      <c r="P21" s="44"/>
      <c r="Q21" s="44"/>
      <c r="R21" s="44"/>
      <c r="S21" s="44"/>
    </row>
    <row r="22" spans="1:19" ht="12.75">
      <c r="A22" s="6"/>
      <c r="B22" s="42" t="s">
        <v>38</v>
      </c>
      <c r="C22" s="42"/>
      <c r="D22" s="42"/>
      <c r="E22" s="42"/>
      <c r="F22" s="42"/>
      <c r="G22" s="42"/>
      <c r="H22" s="42"/>
      <c r="I22" s="6"/>
      <c r="J22" s="6"/>
      <c r="K22" s="6"/>
      <c r="L22" s="44"/>
      <c r="M22" s="44"/>
      <c r="N22" s="44"/>
      <c r="O22" s="44"/>
      <c r="P22" s="44"/>
      <c r="Q22" s="44"/>
      <c r="R22" s="44"/>
      <c r="S22" s="44"/>
    </row>
    <row r="23" spans="1:19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44"/>
      <c r="M23" s="44"/>
      <c r="N23" s="44"/>
      <c r="O23" s="44"/>
      <c r="P23" s="44"/>
      <c r="Q23" s="44"/>
      <c r="R23" s="44"/>
      <c r="S23" s="44"/>
    </row>
    <row r="24" spans="1:19" ht="12.75">
      <c r="A24" s="45"/>
      <c r="B24" s="45"/>
      <c r="C24" s="45"/>
      <c r="D24" s="45"/>
      <c r="E24" s="45"/>
      <c r="F24" s="45"/>
      <c r="G24" s="45"/>
      <c r="H24" s="6"/>
      <c r="I24" s="59"/>
      <c r="J24" s="59"/>
      <c r="K24" s="6"/>
      <c r="L24" s="44"/>
      <c r="M24" s="44"/>
      <c r="N24" s="44"/>
      <c r="O24" s="44"/>
      <c r="P24" s="44"/>
      <c r="Q24" s="44"/>
      <c r="R24" s="44"/>
      <c r="S24" s="44"/>
    </row>
    <row r="25" spans="1:19" ht="12.75">
      <c r="A25" s="45"/>
      <c r="B25" s="45"/>
      <c r="C25" s="45"/>
      <c r="D25" s="45"/>
      <c r="E25" s="45"/>
      <c r="F25" s="45"/>
      <c r="G25" s="45"/>
      <c r="H25" s="6"/>
      <c r="I25" s="59"/>
      <c r="J25" s="59"/>
      <c r="K25" s="6"/>
      <c r="L25" s="44"/>
      <c r="M25" s="44"/>
      <c r="N25" s="44"/>
      <c r="O25" s="44"/>
      <c r="P25" s="44"/>
      <c r="Q25" s="44"/>
      <c r="R25" s="44"/>
      <c r="S25" s="44"/>
    </row>
    <row r="26" spans="1:19" ht="12.75">
      <c r="A26" s="45"/>
      <c r="B26" s="45"/>
      <c r="C26" s="45"/>
      <c r="D26" s="45"/>
      <c r="E26" s="45"/>
      <c r="F26" s="45"/>
      <c r="G26" s="45"/>
      <c r="H26" s="58"/>
      <c r="I26" s="58"/>
      <c r="J26" s="58"/>
      <c r="K26" s="6"/>
      <c r="L26" s="44"/>
      <c r="M26" s="44"/>
      <c r="N26" s="44"/>
      <c r="O26" s="44"/>
      <c r="P26" s="44"/>
      <c r="Q26" s="44"/>
      <c r="R26" s="44"/>
      <c r="S26" s="44"/>
    </row>
    <row r="27" spans="1:19" ht="12.75">
      <c r="A27" s="45"/>
      <c r="B27" s="45"/>
      <c r="C27" s="45"/>
      <c r="D27" s="45"/>
      <c r="E27" s="45"/>
      <c r="F27" s="45"/>
      <c r="G27" s="45"/>
      <c r="H27" s="58"/>
      <c r="I27" s="58"/>
      <c r="J27" s="58"/>
      <c r="K27" s="6"/>
      <c r="L27" s="44"/>
      <c r="M27" s="44"/>
      <c r="N27" s="44"/>
      <c r="O27" s="44"/>
      <c r="P27" s="44"/>
      <c r="Q27" s="44"/>
      <c r="R27" s="44"/>
      <c r="S27" s="44"/>
    </row>
    <row r="28" spans="1:19" ht="12.75">
      <c r="A28" s="45"/>
      <c r="B28" s="45"/>
      <c r="C28" s="45"/>
      <c r="D28" s="45"/>
      <c r="E28" s="45"/>
      <c r="F28" s="45"/>
      <c r="G28" s="45"/>
      <c r="H28" s="58"/>
      <c r="I28" s="58"/>
      <c r="J28" s="58"/>
      <c r="K28" s="6"/>
      <c r="L28" s="44"/>
      <c r="M28" s="44"/>
      <c r="N28" s="44"/>
      <c r="O28" s="44"/>
      <c r="P28" s="44"/>
      <c r="Q28" s="44"/>
      <c r="R28" s="44"/>
      <c r="S28" s="44"/>
    </row>
    <row r="29" spans="1:19" ht="12.75">
      <c r="A29" s="45"/>
      <c r="B29" s="45"/>
      <c r="C29" s="45"/>
      <c r="D29" s="45"/>
      <c r="E29" s="45"/>
      <c r="F29" s="45"/>
      <c r="G29" s="45"/>
      <c r="H29" s="58"/>
      <c r="I29" s="58"/>
      <c r="J29" s="58"/>
      <c r="K29" s="6"/>
      <c r="L29" s="44"/>
      <c r="M29" s="44"/>
      <c r="N29" s="44"/>
      <c r="O29" s="44"/>
      <c r="P29" s="44"/>
      <c r="Q29" s="44"/>
      <c r="R29" s="44"/>
      <c r="S29" s="44"/>
    </row>
    <row r="30" spans="1:19" ht="12.75">
      <c r="A30" s="45"/>
      <c r="B30" s="45"/>
      <c r="C30" s="45"/>
      <c r="D30" s="45"/>
      <c r="E30" s="45"/>
      <c r="F30" s="45"/>
      <c r="G30" s="45"/>
      <c r="H30" s="58"/>
      <c r="I30" s="58"/>
      <c r="J30" s="58"/>
      <c r="K30" s="6"/>
      <c r="L30" s="44"/>
      <c r="M30" s="44"/>
      <c r="N30" s="44"/>
      <c r="O30" s="44"/>
      <c r="P30" s="44"/>
      <c r="Q30" s="44"/>
      <c r="R30" s="44"/>
      <c r="S30" s="44"/>
    </row>
    <row r="31" spans="1:19" ht="12.75">
      <c r="A31" s="45"/>
      <c r="B31" s="45"/>
      <c r="C31" s="45"/>
      <c r="D31" s="45"/>
      <c r="E31" s="45"/>
      <c r="F31" s="45"/>
      <c r="G31" s="45"/>
      <c r="H31" s="58"/>
      <c r="I31" s="58"/>
      <c r="J31" s="58"/>
      <c r="K31" s="6"/>
      <c r="L31" s="44"/>
      <c r="M31" s="44"/>
      <c r="N31" s="44"/>
      <c r="O31" s="44"/>
      <c r="P31" s="44"/>
      <c r="Q31" s="44"/>
      <c r="R31" s="44"/>
      <c r="S31" s="44"/>
    </row>
    <row r="32" spans="1:1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44"/>
      <c r="M32" s="44"/>
      <c r="N32" s="44"/>
      <c r="O32" s="44"/>
      <c r="P32" s="44"/>
      <c r="Q32" s="44"/>
      <c r="R32" s="44"/>
      <c r="S32" s="44"/>
    </row>
    <row r="33" spans="1:19" ht="12.75">
      <c r="A33" s="6"/>
      <c r="B33" s="2" t="s">
        <v>39</v>
      </c>
      <c r="C33" s="12">
        <f>((D17*1000)/(J3*D4))+(-1)*H20-((D20*100000)/(J3*D4))</f>
        <v>5.966764824947706</v>
      </c>
      <c r="D33" s="2" t="s">
        <v>34</v>
      </c>
      <c r="E33" s="6"/>
      <c r="F33" s="6"/>
      <c r="G33" s="6"/>
      <c r="H33" s="6"/>
      <c r="I33" s="6"/>
      <c r="J33" s="6"/>
      <c r="K33" s="6"/>
      <c r="L33" s="44"/>
      <c r="M33" s="44"/>
      <c r="N33" s="44"/>
      <c r="O33" s="44"/>
      <c r="P33" s="44"/>
      <c r="Q33" s="44"/>
      <c r="R33" s="44"/>
      <c r="S33" s="44"/>
    </row>
    <row r="34" spans="1:19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44"/>
      <c r="M34" s="44"/>
      <c r="N34" s="44"/>
      <c r="O34" s="44"/>
      <c r="P34" s="44"/>
      <c r="Q34" s="44"/>
      <c r="R34" s="44"/>
      <c r="S34" s="44"/>
    </row>
    <row r="35" spans="1:1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44"/>
      <c r="M35" s="44"/>
      <c r="N35" s="44"/>
      <c r="O35" s="44"/>
      <c r="P35" s="44"/>
      <c r="Q35" s="44"/>
      <c r="R35" s="44"/>
      <c r="S35" s="44"/>
    </row>
    <row r="36" spans="1:1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44"/>
      <c r="M36" s="44"/>
      <c r="N36" s="44"/>
      <c r="O36" s="44"/>
      <c r="P36" s="44"/>
      <c r="Q36" s="44"/>
      <c r="R36" s="44"/>
      <c r="S36" s="44"/>
    </row>
    <row r="37" spans="1:19" ht="12.75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6"/>
      <c r="L37" s="6"/>
      <c r="M37" s="6"/>
      <c r="N37" s="6"/>
      <c r="O37" s="6"/>
      <c r="P37" s="7"/>
      <c r="Q37" s="7"/>
      <c r="R37" s="6"/>
      <c r="S37" s="6"/>
    </row>
    <row r="38" spans="1:1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7"/>
      <c r="R38" s="6"/>
      <c r="S38" s="6"/>
    </row>
    <row r="39" spans="1:19" ht="25.5">
      <c r="A39" s="43"/>
      <c r="B39" s="43"/>
      <c r="C39" s="43"/>
      <c r="D39" s="43"/>
      <c r="E39" s="43"/>
      <c r="F39" s="43"/>
      <c r="G39" s="6"/>
      <c r="H39" s="14" t="s">
        <v>42</v>
      </c>
      <c r="I39" s="14" t="s">
        <v>43</v>
      </c>
      <c r="J39" s="15" t="s">
        <v>45</v>
      </c>
      <c r="K39" s="14" t="s">
        <v>44</v>
      </c>
      <c r="L39" s="14" t="s">
        <v>46</v>
      </c>
      <c r="M39" s="19" t="s">
        <v>47</v>
      </c>
      <c r="N39" s="14" t="s">
        <v>48</v>
      </c>
      <c r="O39" s="14" t="s">
        <v>52</v>
      </c>
      <c r="P39" s="2" t="s">
        <v>53</v>
      </c>
      <c r="Q39" s="2" t="s">
        <v>54</v>
      </c>
      <c r="R39" s="19" t="s">
        <v>55</v>
      </c>
      <c r="S39" s="6"/>
    </row>
    <row r="40" spans="1:19" ht="12.75">
      <c r="A40" s="43"/>
      <c r="B40" s="43"/>
      <c r="C40" s="43"/>
      <c r="D40" s="43"/>
      <c r="E40" s="43"/>
      <c r="F40" s="43"/>
      <c r="G40" s="6"/>
      <c r="H40" s="14">
        <v>1</v>
      </c>
      <c r="I40" s="14">
        <v>-100</v>
      </c>
      <c r="J40" s="14">
        <v>0</v>
      </c>
      <c r="K40" s="14">
        <v>1</v>
      </c>
      <c r="L40" s="3">
        <f>($J$10*J40/1000)/K40</f>
        <v>0</v>
      </c>
      <c r="M40" s="17">
        <f>L40*3600</f>
        <v>0</v>
      </c>
      <c r="N40" s="16">
        <f>(I40*13.6*9.8)+($D$2*13.6*9.8)</f>
        <v>79968</v>
      </c>
      <c r="O40" s="3">
        <f>L40/($C$46/10000)</f>
        <v>0</v>
      </c>
      <c r="P40" s="3">
        <f>O40^2/(2*$D$4)</f>
        <v>0</v>
      </c>
      <c r="Q40" s="12">
        <f>(N40/($J$3*$D$4))+P40</f>
        <v>8.195651082207602</v>
      </c>
      <c r="R40" s="18">
        <f>Q40-($J$7/($J$3*$D$4))</f>
        <v>7.760953002704621</v>
      </c>
      <c r="S40" s="6"/>
    </row>
    <row r="41" spans="1:19" ht="12.75">
      <c r="A41" s="43"/>
      <c r="B41" s="43"/>
      <c r="C41" s="43"/>
      <c r="D41" s="43"/>
      <c r="E41" s="43"/>
      <c r="F41" s="43"/>
      <c r="G41" s="6"/>
      <c r="H41" s="14">
        <v>2</v>
      </c>
      <c r="I41" s="14">
        <v>-160</v>
      </c>
      <c r="J41" s="14">
        <v>100</v>
      </c>
      <c r="K41" s="14">
        <v>39.27</v>
      </c>
      <c r="L41" s="3">
        <f>($J$10*J41/1000)/K41</f>
        <v>0.001390374331550802</v>
      </c>
      <c r="M41" s="18">
        <f aca="true" t="shared" si="0" ref="M41:M48">L41*3600</f>
        <v>5.005347593582887</v>
      </c>
      <c r="N41" s="3">
        <f aca="true" t="shared" si="1" ref="N41:N48">(I41*13.6*9.8)+($D$2*13.6*9.8)</f>
        <v>71971.2</v>
      </c>
      <c r="O41" s="16">
        <f aca="true" t="shared" si="2" ref="O41:O48">L41/($C$46/10000)</f>
        <v>1.0613544515654978</v>
      </c>
      <c r="P41" s="12">
        <f aca="true" t="shared" si="3" ref="P41:P48">O41^2/(2*$D$4)</f>
        <v>0.05747312611519891</v>
      </c>
      <c r="Q41" s="12">
        <f aca="true" t="shared" si="4" ref="Q41:Q48">(N41/($J$3*$D$4))+P41</f>
        <v>7.433559100102041</v>
      </c>
      <c r="R41" s="18">
        <f aca="true" t="shared" si="5" ref="R41:R48">Q41-($J$7/($J$3*$D$4))</f>
        <v>6.99886102059906</v>
      </c>
      <c r="S41" s="6"/>
    </row>
    <row r="42" spans="1:19" ht="12.75">
      <c r="A42" s="43"/>
      <c r="B42" s="43"/>
      <c r="C42" s="43"/>
      <c r="D42" s="43"/>
      <c r="E42" s="43"/>
      <c r="F42" s="43"/>
      <c r="G42" s="6"/>
      <c r="H42" s="14">
        <v>3</v>
      </c>
      <c r="I42" s="14">
        <v>-140</v>
      </c>
      <c r="J42" s="14">
        <v>100</v>
      </c>
      <c r="K42" s="14">
        <v>24.17</v>
      </c>
      <c r="L42" s="3">
        <f aca="true" t="shared" si="6" ref="L41:L48">($J$10*J42/1000)/K42</f>
        <v>0.0022589987587918908</v>
      </c>
      <c r="M42" s="18">
        <f t="shared" si="0"/>
        <v>8.132395531650808</v>
      </c>
      <c r="N42" s="3">
        <f t="shared" si="1"/>
        <v>74636.8</v>
      </c>
      <c r="O42" s="16">
        <f t="shared" si="2"/>
        <v>1.7244265334289244</v>
      </c>
      <c r="P42" s="12">
        <f t="shared" si="3"/>
        <v>0.15171667699967842</v>
      </c>
      <c r="Q42" s="12">
        <f t="shared" si="4"/>
        <v>7.8009910203934405</v>
      </c>
      <c r="R42" s="18">
        <f t="shared" si="5"/>
        <v>7.366292940890459</v>
      </c>
      <c r="S42" s="6"/>
    </row>
    <row r="43" spans="1:19" ht="12.75">
      <c r="A43" s="43"/>
      <c r="B43" s="43"/>
      <c r="C43" s="43"/>
      <c r="D43" s="43"/>
      <c r="E43" s="43"/>
      <c r="F43" s="43"/>
      <c r="G43" s="6"/>
      <c r="H43" s="14">
        <v>4</v>
      </c>
      <c r="I43" s="14">
        <v>-160</v>
      </c>
      <c r="J43" s="14">
        <v>100</v>
      </c>
      <c r="K43" s="14">
        <v>19.03</v>
      </c>
      <c r="L43" s="3">
        <f t="shared" si="6"/>
        <v>0.0028691539674198636</v>
      </c>
      <c r="M43" s="18">
        <f t="shared" si="0"/>
        <v>10.328954282711509</v>
      </c>
      <c r="N43" s="3">
        <f t="shared" si="1"/>
        <v>71971.2</v>
      </c>
      <c r="O43" s="16">
        <f t="shared" si="2"/>
        <v>2.190193868259438</v>
      </c>
      <c r="P43" s="12">
        <f t="shared" si="3"/>
        <v>0.24474230513067552</v>
      </c>
      <c r="Q43" s="12">
        <f t="shared" si="4"/>
        <v>7.620828279117518</v>
      </c>
      <c r="R43" s="18">
        <f t="shared" si="5"/>
        <v>7.186130199614537</v>
      </c>
      <c r="S43" s="6"/>
    </row>
    <row r="44" spans="1:19" ht="12.75">
      <c r="A44" s="43"/>
      <c r="B44" s="43"/>
      <c r="C44" s="43"/>
      <c r="D44" s="43"/>
      <c r="E44" s="43"/>
      <c r="F44" s="43"/>
      <c r="G44" s="6"/>
      <c r="H44" s="14">
        <v>5</v>
      </c>
      <c r="I44" s="14">
        <v>-180</v>
      </c>
      <c r="J44" s="14">
        <v>100</v>
      </c>
      <c r="K44" s="14">
        <v>16.67</v>
      </c>
      <c r="L44" s="3">
        <f t="shared" si="6"/>
        <v>0.0032753449310137972</v>
      </c>
      <c r="M44" s="18">
        <f t="shared" si="0"/>
        <v>11.79124175164967</v>
      </c>
      <c r="N44" s="3">
        <f t="shared" si="1"/>
        <v>69305.6</v>
      </c>
      <c r="O44" s="16">
        <f t="shared" si="2"/>
        <v>2.5002633061174024</v>
      </c>
      <c r="P44" s="12">
        <f t="shared" si="3"/>
        <v>0.31894472448556754</v>
      </c>
      <c r="Q44" s="12">
        <f t="shared" si="4"/>
        <v>7.42184232906549</v>
      </c>
      <c r="R44" s="18">
        <f t="shared" si="5"/>
        <v>6.987144249562509</v>
      </c>
      <c r="S44" s="6"/>
    </row>
    <row r="45" spans="1:19" ht="12.75">
      <c r="A45" s="6"/>
      <c r="B45" s="6"/>
      <c r="C45" s="6"/>
      <c r="D45" s="6"/>
      <c r="E45" s="6"/>
      <c r="F45" s="6"/>
      <c r="G45" s="6"/>
      <c r="H45" s="14">
        <v>6</v>
      </c>
      <c r="I45" s="14">
        <v>-210</v>
      </c>
      <c r="J45" s="14">
        <v>100</v>
      </c>
      <c r="K45" s="14">
        <v>14.99</v>
      </c>
      <c r="L45" s="3">
        <f t="shared" si="6"/>
        <v>0.0036424282855236825</v>
      </c>
      <c r="M45" s="18">
        <f t="shared" si="0"/>
        <v>13.112741827885257</v>
      </c>
      <c r="N45" s="3">
        <f t="shared" si="1"/>
        <v>65307.2</v>
      </c>
      <c r="O45" s="16">
        <f t="shared" si="2"/>
        <v>2.780479607269987</v>
      </c>
      <c r="P45" s="12">
        <f t="shared" si="3"/>
        <v>0.3944421860430745</v>
      </c>
      <c r="Q45" s="12">
        <f t="shared" si="4"/>
        <v>7.087557236512617</v>
      </c>
      <c r="R45" s="18">
        <f t="shared" si="5"/>
        <v>6.652859157009636</v>
      </c>
      <c r="S45" s="6"/>
    </row>
    <row r="46" spans="1:19" ht="12.75">
      <c r="A46" s="6"/>
      <c r="B46" s="1" t="s">
        <v>50</v>
      </c>
      <c r="C46" s="3">
        <v>13.1</v>
      </c>
      <c r="D46" s="2" t="s">
        <v>51</v>
      </c>
      <c r="E46" s="6"/>
      <c r="F46" s="6"/>
      <c r="G46" s="6"/>
      <c r="H46" s="14">
        <v>7</v>
      </c>
      <c r="I46" s="14">
        <v>-240</v>
      </c>
      <c r="J46" s="14">
        <v>100</v>
      </c>
      <c r="K46" s="14">
        <v>13.99</v>
      </c>
      <c r="L46" s="3">
        <f t="shared" si="6"/>
        <v>0.0039027877055039313</v>
      </c>
      <c r="M46" s="18">
        <f t="shared" si="0"/>
        <v>14.050035739814152</v>
      </c>
      <c r="N46" s="3">
        <f t="shared" si="1"/>
        <v>61308.8</v>
      </c>
      <c r="O46" s="16">
        <f t="shared" si="2"/>
        <v>2.9792272561098714</v>
      </c>
      <c r="P46" s="12">
        <f t="shared" si="3"/>
        <v>0.4528466858953037</v>
      </c>
      <c r="Q46" s="12">
        <f t="shared" si="4"/>
        <v>6.736179182254466</v>
      </c>
      <c r="R46" s="18">
        <f t="shared" si="5"/>
        <v>6.3014811027514845</v>
      </c>
      <c r="S46" s="6"/>
    </row>
    <row r="47" spans="1:19" ht="12.75">
      <c r="A47" s="6"/>
      <c r="B47" s="6"/>
      <c r="C47" s="6"/>
      <c r="D47" s="6"/>
      <c r="E47" s="6"/>
      <c r="F47" s="6"/>
      <c r="G47" s="6"/>
      <c r="H47" s="14">
        <v>8</v>
      </c>
      <c r="I47" s="14">
        <v>-240</v>
      </c>
      <c r="J47" s="14">
        <v>100</v>
      </c>
      <c r="K47" s="14">
        <v>12.77</v>
      </c>
      <c r="L47" s="3">
        <f t="shared" si="6"/>
        <v>0.004275646045418951</v>
      </c>
      <c r="M47" s="18">
        <f t="shared" si="0"/>
        <v>15.392325763508223</v>
      </c>
      <c r="N47" s="3">
        <f t="shared" si="1"/>
        <v>61308.8</v>
      </c>
      <c r="O47" s="16">
        <f t="shared" si="2"/>
        <v>3.2638519430679014</v>
      </c>
      <c r="P47" s="12">
        <f t="shared" si="3"/>
        <v>0.543506607462659</v>
      </c>
      <c r="Q47" s="12">
        <f t="shared" si="4"/>
        <v>6.826839103821821</v>
      </c>
      <c r="R47" s="18">
        <f t="shared" si="5"/>
        <v>6.39214102431884</v>
      </c>
      <c r="S47" s="6"/>
    </row>
    <row r="48" spans="1:19" ht="12.75">
      <c r="A48" s="6"/>
      <c r="B48" s="1" t="s">
        <v>56</v>
      </c>
      <c r="C48" s="10">
        <v>-0.0198</v>
      </c>
      <c r="D48" s="2" t="s">
        <v>57</v>
      </c>
      <c r="E48" s="10">
        <v>0.3184</v>
      </c>
      <c r="F48" s="2" t="s">
        <v>58</v>
      </c>
      <c r="G48" s="10">
        <v>5.9645</v>
      </c>
      <c r="H48" s="14">
        <v>9</v>
      </c>
      <c r="I48" s="14">
        <v>-260</v>
      </c>
      <c r="J48" s="14">
        <v>100</v>
      </c>
      <c r="K48" s="14">
        <v>12.67</v>
      </c>
      <c r="L48" s="3">
        <f>($J$10*J48/1000)/K48</f>
        <v>0.00430939226519337</v>
      </c>
      <c r="M48" s="18">
        <f t="shared" si="0"/>
        <v>15.513812154696133</v>
      </c>
      <c r="N48" s="3">
        <f t="shared" si="1"/>
        <v>58643.2</v>
      </c>
      <c r="O48" s="16">
        <f t="shared" si="2"/>
        <v>3.2896124161781453</v>
      </c>
      <c r="P48" s="12">
        <f t="shared" si="3"/>
        <v>0.5521198902384395</v>
      </c>
      <c r="Q48" s="12">
        <f t="shared" si="4"/>
        <v>6.562264017190681</v>
      </c>
      <c r="R48" s="18">
        <f t="shared" si="5"/>
        <v>6.1275659376877</v>
      </c>
      <c r="S48" s="6"/>
    </row>
    <row r="49" spans="1:1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  <c r="Q49" s="7"/>
      <c r="R49" s="6"/>
      <c r="S49" s="6"/>
    </row>
    <row r="50" spans="1:19" ht="12.75">
      <c r="A50" s="6"/>
      <c r="B50" s="8"/>
      <c r="C50" s="7"/>
      <c r="D50" s="9"/>
      <c r="E50" s="7"/>
      <c r="F50" s="9"/>
      <c r="G50" s="7"/>
      <c r="H50" s="6"/>
      <c r="I50" s="6"/>
      <c r="J50" s="6"/>
      <c r="K50" s="6"/>
      <c r="L50" s="6"/>
      <c r="M50" s="6"/>
      <c r="N50" s="6"/>
      <c r="O50" s="6"/>
      <c r="P50" s="7"/>
      <c r="Q50" s="7"/>
      <c r="R50" s="6"/>
      <c r="S50" s="6"/>
    </row>
    <row r="51" spans="1:19" ht="12.75">
      <c r="A51" s="42" t="s">
        <v>59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6"/>
      <c r="N51" s="6"/>
      <c r="O51" s="6"/>
      <c r="P51" s="7"/>
      <c r="Q51" s="7"/>
      <c r="R51" s="6"/>
      <c r="S51" s="6"/>
    </row>
    <row r="52" spans="1:1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7"/>
      <c r="R52" s="6"/>
      <c r="S52" s="6"/>
    </row>
    <row r="53" spans="1:19" ht="12.75">
      <c r="A53" s="6"/>
      <c r="B53" s="13" t="s">
        <v>41</v>
      </c>
      <c r="C53" s="13" t="s">
        <v>60</v>
      </c>
      <c r="D53" s="13" t="s">
        <v>61</v>
      </c>
      <c r="E53" s="20" t="s">
        <v>65</v>
      </c>
      <c r="F53" s="52" t="s">
        <v>144</v>
      </c>
      <c r="G53" s="52" t="s">
        <v>143</v>
      </c>
      <c r="H53" s="6"/>
      <c r="I53" s="6"/>
      <c r="J53" s="13" t="s">
        <v>47</v>
      </c>
      <c r="K53" s="13" t="s">
        <v>62</v>
      </c>
      <c r="L53" s="52" t="s">
        <v>143</v>
      </c>
      <c r="M53" s="6"/>
      <c r="N53" s="6"/>
      <c r="O53" s="6"/>
      <c r="P53" s="7"/>
      <c r="Q53" s="7"/>
      <c r="R53" s="6"/>
      <c r="S53" s="6"/>
    </row>
    <row r="54" spans="1:19" ht="12.75">
      <c r="A54" s="6"/>
      <c r="B54" s="13">
        <v>0</v>
      </c>
      <c r="C54" s="13">
        <v>38.75</v>
      </c>
      <c r="D54" s="3">
        <f>$N$59*B54^2+$P$59*B54+$R$59</f>
        <v>26</v>
      </c>
      <c r="E54" s="12">
        <f>C54+D54</f>
        <v>64.75</v>
      </c>
      <c r="F54" s="41"/>
      <c r="G54" s="41"/>
      <c r="H54" s="6"/>
      <c r="I54" s="6"/>
      <c r="J54" s="13">
        <v>0</v>
      </c>
      <c r="K54" s="13">
        <v>26</v>
      </c>
      <c r="L54" s="41"/>
      <c r="M54" s="6"/>
      <c r="N54" s="6"/>
      <c r="O54" s="6"/>
      <c r="P54" s="7"/>
      <c r="Q54" s="7"/>
      <c r="R54" s="6"/>
      <c r="S54" s="6"/>
    </row>
    <row r="55" spans="1:19" ht="12.75">
      <c r="A55" s="6"/>
      <c r="B55" s="13">
        <v>7</v>
      </c>
      <c r="C55" s="13">
        <v>35</v>
      </c>
      <c r="D55" s="16">
        <f>$N$59*B55^2+$P$59*B55+$R$59</f>
        <v>23.2245</v>
      </c>
      <c r="E55" s="12">
        <f aca="true" t="shared" si="7" ref="E55:E62">C55+D55</f>
        <v>58.2245</v>
      </c>
      <c r="F55" s="41">
        <v>47</v>
      </c>
      <c r="G55" s="56">
        <f>$N$55*B55^2+$P$55*B55+$R$55</f>
        <v>55.6195</v>
      </c>
      <c r="H55" s="6"/>
      <c r="I55" s="6"/>
      <c r="J55" s="13">
        <v>2.8</v>
      </c>
      <c r="K55" s="13">
        <v>25.95</v>
      </c>
      <c r="L55" s="54">
        <v>45</v>
      </c>
      <c r="M55" s="55" t="s">
        <v>145</v>
      </c>
      <c r="N55" s="53">
        <v>-0.5054</v>
      </c>
      <c r="O55" s="2" t="s">
        <v>57</v>
      </c>
      <c r="P55" s="53">
        <v>7.5483</v>
      </c>
      <c r="Q55" s="2" t="s">
        <v>58</v>
      </c>
      <c r="R55" s="53">
        <v>27.546</v>
      </c>
      <c r="S55" s="6"/>
    </row>
    <row r="56" spans="1:19" ht="12.75">
      <c r="A56" s="6"/>
      <c r="B56" s="13">
        <v>9.6</v>
      </c>
      <c r="C56" s="13">
        <v>30</v>
      </c>
      <c r="D56" s="16">
        <f aca="true" t="shared" si="8" ref="D55:D62">$N$59*B56^2+$P$59*B56+$R$59</f>
        <v>18.155072</v>
      </c>
      <c r="E56" s="12">
        <f t="shared" si="7"/>
        <v>48.155072000000004</v>
      </c>
      <c r="F56" s="41">
        <v>56.2</v>
      </c>
      <c r="G56" s="56">
        <f aca="true" t="shared" si="9" ref="G56:G63">$N$55*B56^2+$P$55*B56+$R$55</f>
        <v>53.432016000000004</v>
      </c>
      <c r="H56" s="6"/>
      <c r="I56" s="6"/>
      <c r="J56" s="13">
        <v>4</v>
      </c>
      <c r="K56" s="13">
        <v>25.9</v>
      </c>
      <c r="L56" s="41">
        <v>49.5</v>
      </c>
      <c r="M56" s="6"/>
      <c r="N56" s="6"/>
      <c r="O56" s="6"/>
      <c r="P56" s="7"/>
      <c r="Q56" s="7"/>
      <c r="R56" s="6"/>
      <c r="S56" s="6"/>
    </row>
    <row r="57" spans="1:19" ht="12.75">
      <c r="A57" s="6"/>
      <c r="B57" s="13">
        <v>10.5</v>
      </c>
      <c r="C57" s="13">
        <v>28</v>
      </c>
      <c r="D57" s="16">
        <f t="shared" si="8"/>
        <v>15.8906</v>
      </c>
      <c r="E57" s="12">
        <f t="shared" si="7"/>
        <v>43.8906</v>
      </c>
      <c r="F57" s="41">
        <v>56.5</v>
      </c>
      <c r="G57" s="56">
        <f t="shared" si="9"/>
        <v>51.0828</v>
      </c>
      <c r="H57" s="6"/>
      <c r="I57" s="6"/>
      <c r="J57" s="13">
        <v>4.8</v>
      </c>
      <c r="K57" s="13">
        <v>25.5</v>
      </c>
      <c r="L57" s="41">
        <v>52</v>
      </c>
      <c r="M57" s="2" t="s">
        <v>64</v>
      </c>
      <c r="N57" s="53">
        <v>0.9903</v>
      </c>
      <c r="O57" s="6"/>
      <c r="P57" s="7"/>
      <c r="Q57" s="7"/>
      <c r="R57" s="6"/>
      <c r="S57" s="6"/>
    </row>
    <row r="58" spans="1:19" ht="12.75">
      <c r="A58" s="6"/>
      <c r="B58" s="13">
        <v>11</v>
      </c>
      <c r="C58" s="13">
        <v>26</v>
      </c>
      <c r="D58" s="16">
        <f t="shared" si="8"/>
        <v>14.5193</v>
      </c>
      <c r="E58" s="12">
        <f t="shared" si="7"/>
        <v>40.5193</v>
      </c>
      <c r="F58" s="41">
        <v>55.7</v>
      </c>
      <c r="G58" s="56">
        <f t="shared" si="9"/>
        <v>49.4239</v>
      </c>
      <c r="H58" s="6"/>
      <c r="I58" s="6"/>
      <c r="J58" s="13">
        <v>5.8</v>
      </c>
      <c r="K58" s="13">
        <v>25</v>
      </c>
      <c r="L58" s="41">
        <v>54</v>
      </c>
      <c r="M58" s="6"/>
      <c r="N58" s="6"/>
      <c r="O58" s="6"/>
      <c r="P58" s="7"/>
      <c r="Q58" s="7"/>
      <c r="R58" s="6"/>
      <c r="S58" s="6"/>
    </row>
    <row r="59" spans="1:19" ht="12.75">
      <c r="A59" s="6"/>
      <c r="B59" s="13">
        <v>11.5</v>
      </c>
      <c r="C59" s="13">
        <v>24</v>
      </c>
      <c r="D59" s="16">
        <f t="shared" si="8"/>
        <v>13.067099999999998</v>
      </c>
      <c r="E59" s="12">
        <f t="shared" si="7"/>
        <v>37.067099999999996</v>
      </c>
      <c r="F59" s="41">
        <v>55.2</v>
      </c>
      <c r="G59" s="56">
        <f t="shared" si="9"/>
        <v>47.51230000000002</v>
      </c>
      <c r="H59" s="6"/>
      <c r="I59" s="6"/>
      <c r="J59" s="13">
        <v>6.8</v>
      </c>
      <c r="K59" s="13">
        <v>24</v>
      </c>
      <c r="L59" s="41">
        <v>55.3</v>
      </c>
      <c r="M59" s="2" t="s">
        <v>63</v>
      </c>
      <c r="N59" s="10">
        <v>-0.1618</v>
      </c>
      <c r="O59" s="2" t="s">
        <v>57</v>
      </c>
      <c r="P59" s="10">
        <v>0.7361</v>
      </c>
      <c r="Q59" s="2" t="s">
        <v>58</v>
      </c>
      <c r="R59" s="10">
        <v>26</v>
      </c>
      <c r="S59" s="6"/>
    </row>
    <row r="60" spans="1:19" ht="12.75">
      <c r="A60" s="6"/>
      <c r="B60" s="13">
        <v>12</v>
      </c>
      <c r="C60" s="13">
        <v>22</v>
      </c>
      <c r="D60" s="16">
        <f t="shared" si="8"/>
        <v>11.534</v>
      </c>
      <c r="E60" s="12">
        <f t="shared" si="7"/>
        <v>33.534</v>
      </c>
      <c r="F60" s="41">
        <v>54</v>
      </c>
      <c r="G60" s="56">
        <f t="shared" si="9"/>
        <v>45.348000000000006</v>
      </c>
      <c r="H60" s="6"/>
      <c r="I60" s="6"/>
      <c r="J60" s="13">
        <v>7.2</v>
      </c>
      <c r="K60" s="13">
        <v>23</v>
      </c>
      <c r="L60" s="41">
        <v>56</v>
      </c>
      <c r="M60" s="6"/>
      <c r="N60" s="6"/>
      <c r="O60" s="6"/>
      <c r="P60" s="7"/>
      <c r="Q60" s="7"/>
      <c r="R60" s="6"/>
      <c r="S60" s="6"/>
    </row>
    <row r="61" spans="1:19" ht="12.75">
      <c r="A61" s="6"/>
      <c r="B61" s="13">
        <v>12.5</v>
      </c>
      <c r="C61" s="13">
        <v>20</v>
      </c>
      <c r="D61" s="16">
        <f t="shared" si="8"/>
        <v>9.920000000000002</v>
      </c>
      <c r="E61" s="12">
        <f t="shared" si="7"/>
        <v>29.92</v>
      </c>
      <c r="F61" s="41">
        <v>52</v>
      </c>
      <c r="G61" s="56">
        <f t="shared" si="9"/>
        <v>42.931000000000004</v>
      </c>
      <c r="H61" s="6"/>
      <c r="I61" s="6"/>
      <c r="J61" s="13">
        <v>9</v>
      </c>
      <c r="K61" s="13">
        <v>20.5</v>
      </c>
      <c r="L61" s="41">
        <v>54.7</v>
      </c>
      <c r="M61" s="2" t="s">
        <v>64</v>
      </c>
      <c r="N61" s="3">
        <v>0.9805</v>
      </c>
      <c r="O61" s="6"/>
      <c r="P61" s="7"/>
      <c r="Q61" s="7"/>
      <c r="R61" s="6"/>
      <c r="S61" s="6"/>
    </row>
    <row r="62" spans="1:19" ht="12.75">
      <c r="A62" s="6"/>
      <c r="B62" s="13">
        <v>12.8</v>
      </c>
      <c r="C62" s="13">
        <v>18</v>
      </c>
      <c r="D62" s="16">
        <f t="shared" si="8"/>
        <v>8.912767999999993</v>
      </c>
      <c r="E62" s="12">
        <f t="shared" si="7"/>
        <v>26.912767999999993</v>
      </c>
      <c r="F62" s="41">
        <v>49.5</v>
      </c>
      <c r="G62" s="56">
        <f t="shared" si="9"/>
        <v>41.35950400000001</v>
      </c>
      <c r="H62" s="6"/>
      <c r="I62" s="6"/>
      <c r="J62" s="13">
        <v>9.5</v>
      </c>
      <c r="K62" s="13">
        <v>18.7</v>
      </c>
      <c r="L62" s="41">
        <v>54</v>
      </c>
      <c r="M62" s="6"/>
      <c r="N62" s="6"/>
      <c r="O62" s="6"/>
      <c r="P62" s="7"/>
      <c r="Q62" s="7"/>
      <c r="R62" s="6"/>
      <c r="S62" s="6"/>
    </row>
    <row r="63" spans="1:19" ht="12.75">
      <c r="A63" s="6"/>
      <c r="B63" s="48">
        <v>14</v>
      </c>
      <c r="C63" s="13"/>
      <c r="D63" s="16"/>
      <c r="E63" s="49">
        <f>-0.3593*B63^2+1.7075*B63+64.75</f>
        <v>18.232200000000006</v>
      </c>
      <c r="F63" s="57">
        <f>-0.9528*B63^2+19.42*B63-43.305</f>
        <v>41.82620000000001</v>
      </c>
      <c r="G63" s="57">
        <f t="shared" si="9"/>
        <v>34.163800000000016</v>
      </c>
      <c r="H63" s="6"/>
      <c r="I63" s="6"/>
      <c r="J63" s="13">
        <v>10.3</v>
      </c>
      <c r="K63" s="13">
        <v>16.5</v>
      </c>
      <c r="L63" s="41">
        <v>52</v>
      </c>
      <c r="M63" s="6"/>
      <c r="N63" s="6"/>
      <c r="O63" s="6"/>
      <c r="P63" s="7"/>
      <c r="Q63" s="7"/>
      <c r="R63" s="6"/>
      <c r="S63" s="6"/>
    </row>
    <row r="64" spans="1:19" ht="12.75">
      <c r="A64" s="6"/>
      <c r="B64" s="6"/>
      <c r="C64" s="6"/>
      <c r="D64" s="6"/>
      <c r="E64" s="6"/>
      <c r="F64" s="6"/>
      <c r="G64" s="6"/>
      <c r="H64" s="6"/>
      <c r="I64" s="6"/>
      <c r="J64" s="13">
        <v>10.8</v>
      </c>
      <c r="K64" s="13">
        <v>14</v>
      </c>
      <c r="L64" s="41">
        <v>49.5</v>
      </c>
      <c r="M64" s="6"/>
      <c r="N64" s="6"/>
      <c r="O64" s="6"/>
      <c r="P64" s="7"/>
      <c r="Q64" s="7"/>
      <c r="R64" s="6"/>
      <c r="S64" s="6"/>
    </row>
    <row r="65" spans="1:1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/>
      <c r="Q65" s="7"/>
      <c r="R65" s="6"/>
      <c r="S65" s="6"/>
    </row>
    <row r="66" spans="1:19" ht="12.75">
      <c r="A66" s="43"/>
      <c r="B66" s="43"/>
      <c r="C66" s="43"/>
      <c r="D66" s="43"/>
      <c r="E66" s="43"/>
      <c r="F66" s="43"/>
      <c r="G66" s="43"/>
      <c r="H66" s="43"/>
      <c r="I66" s="43"/>
      <c r="J66" s="6"/>
      <c r="K66" s="6"/>
      <c r="L66" s="6"/>
      <c r="M66" s="6"/>
      <c r="N66" s="6"/>
      <c r="O66" s="6"/>
      <c r="P66" s="7"/>
      <c r="Q66" s="7"/>
      <c r="R66" s="6"/>
      <c r="S66" s="6"/>
    </row>
    <row r="67" spans="1:19" ht="12.75">
      <c r="A67" s="43"/>
      <c r="B67" s="43"/>
      <c r="C67" s="43"/>
      <c r="D67" s="43"/>
      <c r="E67" s="43"/>
      <c r="F67" s="43"/>
      <c r="G67" s="43"/>
      <c r="H67" s="43"/>
      <c r="I67" s="43"/>
      <c r="J67" s="6"/>
      <c r="K67" s="2" t="s">
        <v>66</v>
      </c>
      <c r="L67" s="3">
        <f>F9/100</f>
        <v>1.26</v>
      </c>
      <c r="M67" s="2" t="s">
        <v>34</v>
      </c>
      <c r="N67" s="6"/>
      <c r="O67" s="6"/>
      <c r="P67" s="7"/>
      <c r="Q67" s="7"/>
      <c r="R67" s="6"/>
      <c r="S67" s="6"/>
    </row>
    <row r="68" spans="1:19" ht="12.75">
      <c r="A68" s="43"/>
      <c r="B68" s="43"/>
      <c r="C68" s="43"/>
      <c r="D68" s="43"/>
      <c r="E68" s="43"/>
      <c r="F68" s="43"/>
      <c r="G68" s="43"/>
      <c r="H68" s="43"/>
      <c r="I68" s="43"/>
      <c r="J68" s="6"/>
      <c r="K68" s="6"/>
      <c r="L68" s="6"/>
      <c r="M68" s="6"/>
      <c r="N68" s="6"/>
      <c r="O68" s="6"/>
      <c r="P68" s="7"/>
      <c r="Q68" s="7"/>
      <c r="R68" s="6"/>
      <c r="S68" s="6"/>
    </row>
    <row r="69" spans="1:19" ht="12.75">
      <c r="A69" s="43"/>
      <c r="B69" s="43"/>
      <c r="C69" s="43"/>
      <c r="D69" s="43"/>
      <c r="E69" s="43"/>
      <c r="F69" s="43"/>
      <c r="G69" s="43"/>
      <c r="H69" s="43"/>
      <c r="I69" s="43"/>
      <c r="J69" s="6"/>
      <c r="K69" s="2" t="s">
        <v>67</v>
      </c>
      <c r="L69" s="3">
        <f>1/(2*D4*(C10/10000)^2)</f>
        <v>10834.888862210983</v>
      </c>
      <c r="M69" s="2" t="s">
        <v>68</v>
      </c>
      <c r="N69" s="6"/>
      <c r="O69" s="6"/>
      <c r="P69" s="7"/>
      <c r="Q69" s="7"/>
      <c r="R69" s="6"/>
      <c r="S69" s="6"/>
    </row>
    <row r="70" spans="1:19" ht="12.75">
      <c r="A70" s="43"/>
      <c r="B70" s="43"/>
      <c r="C70" s="43"/>
      <c r="D70" s="43"/>
      <c r="E70" s="43"/>
      <c r="F70" s="43"/>
      <c r="G70" s="43"/>
      <c r="H70" s="43"/>
      <c r="I70" s="43"/>
      <c r="J70" s="6"/>
      <c r="K70" s="6"/>
      <c r="L70" s="6"/>
      <c r="M70" s="6"/>
      <c r="N70" s="6"/>
      <c r="O70" s="6"/>
      <c r="P70" s="7"/>
      <c r="Q70" s="7"/>
      <c r="R70" s="6"/>
      <c r="S70" s="6"/>
    </row>
    <row r="71" spans="1:19" ht="12.75">
      <c r="A71" s="43"/>
      <c r="B71" s="43"/>
      <c r="C71" s="43"/>
      <c r="D71" s="43"/>
      <c r="E71" s="43"/>
      <c r="F71" s="43"/>
      <c r="G71" s="43"/>
      <c r="H71" s="43"/>
      <c r="I71" s="43"/>
      <c r="J71" s="6"/>
      <c r="K71" s="2" t="s">
        <v>74</v>
      </c>
      <c r="L71">
        <f>((Q3+P3)/(B10/1000))*(1/(2*D4*((C10/10000)^2)))</f>
        <v>5100652.918657989</v>
      </c>
      <c r="M71" s="2" t="s">
        <v>68</v>
      </c>
      <c r="N71" s="6"/>
      <c r="O71" s="42" t="s">
        <v>77</v>
      </c>
      <c r="P71" s="42"/>
      <c r="Q71" s="7"/>
      <c r="R71" s="6"/>
      <c r="S71" s="6"/>
    </row>
    <row r="72" spans="1:19" ht="12.75">
      <c r="A72" s="43"/>
      <c r="B72" s="43"/>
      <c r="C72" s="43"/>
      <c r="D72" s="43"/>
      <c r="E72" s="43"/>
      <c r="F72" s="43"/>
      <c r="G72" s="43"/>
      <c r="H72" s="43"/>
      <c r="I72" s="43"/>
      <c r="J72" s="6"/>
      <c r="K72" s="6"/>
      <c r="L72" s="6"/>
      <c r="M72" s="6"/>
      <c r="N72" s="6"/>
      <c r="O72" s="6"/>
      <c r="P72" s="7"/>
      <c r="Q72" s="7"/>
      <c r="R72" s="6"/>
      <c r="S72" s="6"/>
    </row>
    <row r="73" spans="1:19" ht="12.75">
      <c r="A73" s="43"/>
      <c r="B73" s="43"/>
      <c r="C73" s="43"/>
      <c r="D73" s="43"/>
      <c r="E73" s="43"/>
      <c r="F73" s="43"/>
      <c r="G73" s="43"/>
      <c r="H73" s="43"/>
      <c r="I73" s="43"/>
      <c r="J73" s="6"/>
      <c r="K73" s="2" t="s">
        <v>75</v>
      </c>
      <c r="L73">
        <f>((Q5+P5)/(B11/1000))*(1/(2*D4*(C11/10000)^2))</f>
        <v>47550486.89250188</v>
      </c>
      <c r="M73" s="2" t="s">
        <v>68</v>
      </c>
      <c r="N73" s="6"/>
      <c r="O73" s="6"/>
      <c r="P73" s="7"/>
      <c r="Q73" s="7"/>
      <c r="R73" s="6"/>
      <c r="S73" s="6"/>
    </row>
    <row r="74" spans="1:19" ht="12.75">
      <c r="A74" s="43"/>
      <c r="B74" s="43"/>
      <c r="C74" s="43"/>
      <c r="D74" s="43"/>
      <c r="E74" s="43"/>
      <c r="F74" s="43"/>
      <c r="G74" s="43"/>
      <c r="H74" s="43"/>
      <c r="I74" s="43"/>
      <c r="J74" s="6"/>
      <c r="K74" s="6"/>
      <c r="L74" s="6"/>
      <c r="M74" s="6"/>
      <c r="N74" s="6"/>
      <c r="O74" s="6"/>
      <c r="P74" s="7"/>
      <c r="Q74" s="7"/>
      <c r="R74" s="6"/>
      <c r="S74" s="6"/>
    </row>
    <row r="75" spans="1:19" ht="12.75">
      <c r="A75" s="43"/>
      <c r="B75" s="43"/>
      <c r="C75" s="43"/>
      <c r="D75" s="43"/>
      <c r="E75" s="43"/>
      <c r="F75" s="43"/>
      <c r="G75" s="43"/>
      <c r="H75" s="43"/>
      <c r="I75" s="43"/>
      <c r="J75" s="6"/>
      <c r="K75" s="2" t="s">
        <v>76</v>
      </c>
      <c r="L75">
        <f>((Q4+P4)/(B12/1000))*(1/(2*D4*(C12/10000)^2))</f>
        <v>3709395.5963093117</v>
      </c>
      <c r="M75" s="2" t="s">
        <v>68</v>
      </c>
      <c r="N75" s="6"/>
      <c r="O75" s="6"/>
      <c r="P75" s="7"/>
      <c r="Q75" s="7"/>
      <c r="R75" s="6"/>
      <c r="S75" s="6"/>
    </row>
    <row r="76" spans="1:19" ht="12.75">
      <c r="A76" s="43"/>
      <c r="B76" s="43"/>
      <c r="C76" s="43"/>
      <c r="D76" s="43"/>
      <c r="E76" s="43"/>
      <c r="F76" s="43"/>
      <c r="G76" s="43"/>
      <c r="H76" s="43"/>
      <c r="I76" s="43"/>
      <c r="J76" s="6"/>
      <c r="K76" s="6"/>
      <c r="L76" s="6"/>
      <c r="M76" s="6"/>
      <c r="N76" s="6"/>
      <c r="O76" s="6"/>
      <c r="P76" s="7"/>
      <c r="Q76" s="7"/>
      <c r="R76" s="6"/>
      <c r="S76" s="6"/>
    </row>
    <row r="77" spans="1:19" ht="12.75">
      <c r="A77" s="43"/>
      <c r="B77" s="43"/>
      <c r="C77" s="43"/>
      <c r="D77" s="43"/>
      <c r="E77" s="43"/>
      <c r="F77" s="43"/>
      <c r="G77" s="43"/>
      <c r="H77" s="43"/>
      <c r="I77" s="43"/>
      <c r="J77" s="6"/>
      <c r="K77" s="2" t="s">
        <v>74</v>
      </c>
      <c r="L77">
        <f>((Q6+P6)/(B10/1000))*(1/(2*D4*(C10/10000)^2))</f>
        <v>6772321.485970541</v>
      </c>
      <c r="M77" s="2" t="s">
        <v>68</v>
      </c>
      <c r="N77" s="6"/>
      <c r="O77" s="42" t="s">
        <v>78</v>
      </c>
      <c r="P77" s="42"/>
      <c r="Q77" s="7"/>
      <c r="R77" s="6"/>
      <c r="S77" s="6"/>
    </row>
    <row r="78" spans="1:19" ht="12.75">
      <c r="A78" s="7"/>
      <c r="B78" s="7"/>
      <c r="C78" s="7"/>
      <c r="D78" s="7"/>
      <c r="E78" s="7"/>
      <c r="F78" s="7"/>
      <c r="G78" s="7"/>
      <c r="H78" s="7"/>
      <c r="I78" s="7"/>
      <c r="J78" s="6"/>
      <c r="K78" s="9"/>
      <c r="L78" s="6"/>
      <c r="M78" s="9"/>
      <c r="N78" s="6"/>
      <c r="O78" s="9"/>
      <c r="P78" s="9"/>
      <c r="Q78" s="7"/>
      <c r="R78" s="6"/>
      <c r="S78" s="6"/>
    </row>
    <row r="79" spans="1:1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"/>
      <c r="Q79" s="7"/>
      <c r="R79" s="6"/>
      <c r="S79" s="6"/>
    </row>
    <row r="80" spans="1:19" ht="12.75">
      <c r="A80" s="6"/>
      <c r="B80" s="2" t="s">
        <v>79</v>
      </c>
      <c r="C80" s="3">
        <f>L67</f>
        <v>1.26</v>
      </c>
      <c r="D80" s="2" t="s">
        <v>80</v>
      </c>
      <c r="E80" s="2" t="s">
        <v>81</v>
      </c>
      <c r="F80">
        <f>L71+L77</f>
        <v>11872974.40462853</v>
      </c>
      <c r="G80" s="2" t="s">
        <v>57</v>
      </c>
      <c r="H80" s="2" t="s">
        <v>82</v>
      </c>
      <c r="I80">
        <f>L73</f>
        <v>47550486.89250188</v>
      </c>
      <c r="J80" s="2" t="s">
        <v>57</v>
      </c>
      <c r="K80" s="2" t="s">
        <v>83</v>
      </c>
      <c r="L80">
        <f>L75</f>
        <v>3709395.5963093117</v>
      </c>
      <c r="M80" s="2" t="s">
        <v>57</v>
      </c>
      <c r="N80">
        <f>L69</f>
        <v>10834.888862210983</v>
      </c>
      <c r="O80" s="2" t="s">
        <v>84</v>
      </c>
      <c r="P80" s="7"/>
      <c r="Q80" s="7"/>
      <c r="R80" s="6"/>
      <c r="S80" s="6"/>
    </row>
    <row r="81" spans="1:1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"/>
      <c r="Q81" s="7"/>
      <c r="R81" s="6"/>
      <c r="S81" s="6"/>
    </row>
    <row r="82" spans="1:1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7"/>
      <c r="Q82" s="7"/>
      <c r="R82" s="6"/>
      <c r="S82" s="6"/>
    </row>
    <row r="83" spans="1:19" ht="12.75">
      <c r="A83" s="6"/>
      <c r="B83" s="13" t="s">
        <v>41</v>
      </c>
      <c r="C83" s="3" t="s">
        <v>126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7"/>
      <c r="Q83" s="7"/>
      <c r="R83" s="6"/>
      <c r="S83" s="6"/>
    </row>
    <row r="84" spans="1:19" ht="12.75">
      <c r="A84" s="6"/>
      <c r="B84" s="3">
        <f>B54</f>
        <v>0</v>
      </c>
      <c r="C84" s="3">
        <f>C80</f>
        <v>1.26</v>
      </c>
      <c r="D84" s="6"/>
      <c r="E84" s="6"/>
      <c r="F84" s="2" t="s">
        <v>127</v>
      </c>
      <c r="G84" s="2" t="s">
        <v>129</v>
      </c>
      <c r="H84" s="3">
        <v>-0.3593</v>
      </c>
      <c r="I84" s="2" t="s">
        <v>57</v>
      </c>
      <c r="J84" s="3">
        <v>1.7085</v>
      </c>
      <c r="K84" s="2" t="s">
        <v>58</v>
      </c>
      <c r="L84" s="3">
        <v>64.75</v>
      </c>
      <c r="M84" s="6"/>
      <c r="N84" s="6"/>
      <c r="O84" s="6"/>
      <c r="P84" s="7"/>
      <c r="Q84" s="7"/>
      <c r="R84" s="6"/>
      <c r="S84" s="6"/>
    </row>
    <row r="85" spans="1:19" ht="12.75">
      <c r="A85" s="6"/>
      <c r="B85" s="3">
        <f aca="true" t="shared" si="10" ref="B85:B91">B55</f>
        <v>7</v>
      </c>
      <c r="C85" s="12">
        <f>$C$80+'Det do f2"'!B20*$F$80*(B85/3600)^2+'Det do f1,5"'!B19*$I$80*(B85/3600)^2+'Det do f1"'!B19*$L$80*(B85/3600)^2+$N$80*(B85/3600)^2</f>
        <v>6.842755104354014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7"/>
      <c r="Q85" s="7"/>
      <c r="R85" s="6"/>
      <c r="S85" s="6"/>
    </row>
    <row r="86" spans="1:19" ht="12.75">
      <c r="A86" s="6"/>
      <c r="B86" s="3">
        <f t="shared" si="10"/>
        <v>9.6</v>
      </c>
      <c r="C86" s="12">
        <f>$C$80+'Det do f2"'!B21*$F$80*(B86/3600)^2+'Det do f1,5"'!B20*$I$80*(B86/3600)^2+'Det do f1"'!B20*$L$80*(B86/3600)^2+$N$80*(B86/3600)^2</f>
        <v>11.444551157589212</v>
      </c>
      <c r="D86" s="6"/>
      <c r="E86" s="6"/>
      <c r="F86" s="2" t="s">
        <v>128</v>
      </c>
      <c r="G86" s="2" t="s">
        <v>130</v>
      </c>
      <c r="H86" s="3">
        <v>0.1005</v>
      </c>
      <c r="I86" s="2" t="s">
        <v>57</v>
      </c>
      <c r="J86" s="3">
        <v>0.0955</v>
      </c>
      <c r="K86" s="2" t="s">
        <v>58</v>
      </c>
      <c r="L86" s="3">
        <v>1.26</v>
      </c>
      <c r="M86" s="6"/>
      <c r="N86" s="6"/>
      <c r="O86" s="6"/>
      <c r="P86" s="7"/>
      <c r="Q86" s="7"/>
      <c r="R86" s="6"/>
      <c r="S86" s="6"/>
    </row>
    <row r="87" spans="1:19" ht="12.75">
      <c r="A87" s="6"/>
      <c r="B87" s="3">
        <f t="shared" si="10"/>
        <v>10.5</v>
      </c>
      <c r="C87" s="12">
        <f>$C$80+'Det do f2"'!B22*$F$80*(B87/3600)^2+'Det do f1,5"'!B21*$I$80*(B87/3600)^2+'Det do f1"'!B21*$L$80*(B87/3600)^2+$N$80*(B87/3600)^2</f>
        <v>13.350907710737834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  <c r="Q87" s="7"/>
      <c r="R87" s="6"/>
      <c r="S87" s="6"/>
    </row>
    <row r="88" spans="1:19" ht="12.75">
      <c r="A88" s="6"/>
      <c r="B88" s="3">
        <f t="shared" si="10"/>
        <v>11</v>
      </c>
      <c r="C88" s="12">
        <f>$C$80+'Det do f2"'!B23*$F$80*(B88/3600)^2+'Det do f1,5"'!B22*$I$80*(B88/3600)^2+'Det do f1"'!B22*$L$80*(B88/3600)^2+$N$80*(B88/3600)^2</f>
        <v>14.479535283255052</v>
      </c>
      <c r="D88" s="6"/>
      <c r="E88" s="6"/>
      <c r="F88" s="6"/>
      <c r="G88" s="2" t="s">
        <v>131</v>
      </c>
      <c r="H88" s="3">
        <f>H86-H84</f>
        <v>0.4598</v>
      </c>
      <c r="I88" s="2" t="s">
        <v>57</v>
      </c>
      <c r="J88" s="3">
        <f>J86-J84</f>
        <v>-1.613</v>
      </c>
      <c r="K88" s="2" t="s">
        <v>58</v>
      </c>
      <c r="L88" s="3">
        <f>L86-L84</f>
        <v>-63.49</v>
      </c>
      <c r="M88" s="6"/>
      <c r="N88" s="6"/>
      <c r="O88" s="6"/>
      <c r="P88" s="7"/>
      <c r="Q88" s="7"/>
      <c r="R88" s="6"/>
      <c r="S88" s="6"/>
    </row>
    <row r="89" spans="1:19" ht="12.75">
      <c r="A89" s="6"/>
      <c r="B89" s="3">
        <f t="shared" si="10"/>
        <v>11.5</v>
      </c>
      <c r="C89" s="12">
        <f>$C$80+'Det do f2"'!B24*$F$80*(B89/3600)^2+'Det do f1,5"'!B23*$I$80*(B89/3600)^2+'Det do f1"'!B23*$L$80*(B89/3600)^2+$N$80*(B89/3600)^2</f>
        <v>15.657807945320695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7"/>
      <c r="Q89" s="7"/>
      <c r="R89" s="6"/>
      <c r="S89" s="6"/>
    </row>
    <row r="90" spans="1:19" ht="12.75">
      <c r="A90" s="6"/>
      <c r="B90" s="3">
        <f t="shared" si="10"/>
        <v>12</v>
      </c>
      <c r="C90" s="12">
        <f>$C$80+'Det do f2"'!B25*$F$80*(B90/3600)^2+'Det do f1,5"'!B24*$I$80*(B90/3600)^2+'Det do f1"'!B24*$L$80*(B90/3600)^2+$N$80*(B90/3600)^2</f>
        <v>16.885707624037284</v>
      </c>
      <c r="D90" s="6"/>
      <c r="E90" s="6"/>
      <c r="F90" s="6"/>
      <c r="G90" s="2" t="s">
        <v>132</v>
      </c>
      <c r="H90" s="12">
        <f>((-J88+((J88^2)-4*H88*L88)^0.5))/(2*H88)</f>
        <v>13.635032413760756</v>
      </c>
      <c r="I90" s="2" t="s">
        <v>133</v>
      </c>
      <c r="J90" s="6"/>
      <c r="K90" s="2" t="s">
        <v>140</v>
      </c>
      <c r="L90" s="33">
        <f>'Det do f2"'!B28</f>
        <v>0.02143152198955543</v>
      </c>
      <c r="M90" s="6"/>
      <c r="N90" s="6"/>
      <c r="O90" s="6"/>
      <c r="P90" s="7"/>
      <c r="Q90" s="7"/>
      <c r="R90" s="6"/>
      <c r="S90" s="6"/>
    </row>
    <row r="91" spans="1:19" ht="12.75">
      <c r="A91" s="6"/>
      <c r="B91" s="3">
        <f t="shared" si="10"/>
        <v>12.5</v>
      </c>
      <c r="C91" s="12">
        <f>$C$80+'Det do f2"'!B26*$F$80*(B91/3600)^2+'Det do f1,5"'!B25*$I$80*(B91/3600)^2+'Det do f1"'!B25*$L$80*(B91/3600)^2+$N$80*(B91/3600)^2</f>
        <v>18.163218344978052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7"/>
      <c r="Q91" s="7"/>
      <c r="R91" s="6"/>
      <c r="S91" s="6"/>
    </row>
    <row r="92" spans="1:19" ht="12.75">
      <c r="A92" s="6"/>
      <c r="B92" s="3">
        <f>B62</f>
        <v>12.8</v>
      </c>
      <c r="C92" s="12">
        <f>$C$80+'Det do f2"'!B27*$F$80*(B92/3600)^2+'Det do f1,5"'!B26*$I$80*(B92/3600)^2+'Det do f1"'!B26*$L$80*(B92/3600)^2+$N$80*(B92/3600)^2</f>
        <v>18.953532117664547</v>
      </c>
      <c r="D92" s="6"/>
      <c r="E92" s="6"/>
      <c r="F92" s="6"/>
      <c r="G92" s="2" t="s">
        <v>129</v>
      </c>
      <c r="H92" s="12">
        <f>H84*H90^2+J84*H90+L84</f>
        <v>21.24651354240693</v>
      </c>
      <c r="I92" s="2" t="s">
        <v>34</v>
      </c>
      <c r="J92" s="6"/>
      <c r="K92" s="6"/>
      <c r="L92" s="6"/>
      <c r="M92" s="6"/>
      <c r="N92" s="6"/>
      <c r="O92" s="6"/>
      <c r="P92" s="7"/>
      <c r="Q92" s="7"/>
      <c r="R92" s="6"/>
      <c r="S92" s="6"/>
    </row>
    <row r="93" spans="1:19" ht="12.75">
      <c r="A93" s="6"/>
      <c r="B93" s="40">
        <v>14</v>
      </c>
      <c r="C93" s="50">
        <f>$C$80+'Det do f2"'!B29*$F$80*(B93/3600)^2+'Det do f1,5"'!B27*$I$80*(B93/3600)^2+'Det do f1"'!B27*$L$80*(B93/3600)^2+$N$80*(B93/3600)^2</f>
        <v>22.293282652489566</v>
      </c>
      <c r="D93" s="6"/>
      <c r="E93" s="6"/>
      <c r="F93" s="6"/>
      <c r="G93" s="9"/>
      <c r="H93" s="51"/>
      <c r="I93" s="9"/>
      <c r="J93" s="6"/>
      <c r="K93" s="6"/>
      <c r="L93" s="6"/>
      <c r="M93" s="6"/>
      <c r="N93" s="6"/>
      <c r="O93" s="6"/>
      <c r="P93" s="7"/>
      <c r="Q93" s="7"/>
      <c r="R93" s="6"/>
      <c r="S93" s="6"/>
    </row>
    <row r="94" spans="1:1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7"/>
      <c r="Q94" s="7"/>
      <c r="R94" s="6"/>
      <c r="S94" s="6"/>
    </row>
    <row r="95" spans="1:19" ht="12.75">
      <c r="A95" s="42" t="s">
        <v>146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6"/>
      <c r="N95" s="6"/>
      <c r="O95" s="6"/>
      <c r="P95" s="7"/>
      <c r="Q95" s="7"/>
      <c r="R95" s="6"/>
      <c r="S95" s="6"/>
    </row>
    <row r="96" spans="1:1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7"/>
      <c r="Q96" s="7"/>
      <c r="R96" s="6"/>
      <c r="S96" s="6"/>
    </row>
    <row r="97" spans="1:19" ht="12.75">
      <c r="A97" s="6"/>
      <c r="B97" s="2" t="s">
        <v>134</v>
      </c>
      <c r="C97" s="12">
        <f>C48*H90^2+E48*H90+G48</f>
        <v>6.624794963840156</v>
      </c>
      <c r="D97" s="2" t="s">
        <v>34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7"/>
      <c r="Q97" s="7"/>
      <c r="R97" s="6"/>
      <c r="S97" s="6"/>
    </row>
    <row r="98" spans="1:1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7"/>
      <c r="Q98" s="7"/>
      <c r="R98" s="6"/>
      <c r="S98" s="6"/>
    </row>
    <row r="99" spans="1:19" ht="12.75">
      <c r="A99" s="6"/>
      <c r="B99" s="2" t="s">
        <v>135</v>
      </c>
      <c r="C99" s="3">
        <f>-F7/100</f>
        <v>-1.05</v>
      </c>
      <c r="D99" s="2" t="s">
        <v>34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7"/>
      <c r="Q99" s="7"/>
      <c r="R99" s="6"/>
      <c r="S99" s="6"/>
    </row>
    <row r="100" spans="1:1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7"/>
      <c r="Q100" s="7"/>
      <c r="R100" s="6"/>
      <c r="S100" s="6"/>
    </row>
    <row r="101" spans="1:19" ht="12.75">
      <c r="A101" s="6"/>
      <c r="B101" s="2" t="s">
        <v>136</v>
      </c>
      <c r="C101" s="3">
        <f>D2*13.6*9.8</f>
        <v>93296</v>
      </c>
      <c r="D101" s="2" t="s">
        <v>137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7"/>
      <c r="Q101" s="7"/>
      <c r="R101" s="6"/>
      <c r="S101" s="6"/>
    </row>
    <row r="102" spans="1:1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7"/>
      <c r="Q102" s="7"/>
      <c r="R102" s="6"/>
      <c r="S102" s="6"/>
    </row>
    <row r="103" spans="1:19" ht="12.75">
      <c r="A103" s="6"/>
      <c r="B103" s="2" t="s">
        <v>138</v>
      </c>
      <c r="C103" s="16">
        <f>L71*((H90/3600)^2)*L90</f>
        <v>1.5681446992999397</v>
      </c>
      <c r="D103" s="2" t="s">
        <v>34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7"/>
      <c r="Q103" s="7"/>
      <c r="R103" s="6"/>
      <c r="S103" s="6"/>
    </row>
    <row r="104" spans="1:1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7"/>
      <c r="Q104" s="7"/>
      <c r="R104" s="6"/>
      <c r="S104" s="6"/>
    </row>
    <row r="105" spans="1:19" ht="12.75">
      <c r="A105" s="6"/>
      <c r="B105" s="2" t="s">
        <v>139</v>
      </c>
      <c r="C105" s="16">
        <f>C99+(C101/(J3*D4))-C103</f>
        <v>6.943448229942262</v>
      </c>
      <c r="D105" s="2" t="s">
        <v>34</v>
      </c>
      <c r="E105" s="6"/>
      <c r="F105" s="42" t="s">
        <v>141</v>
      </c>
      <c r="G105" s="42"/>
      <c r="H105" s="42"/>
      <c r="I105" s="39">
        <f>C105-C97</f>
        <v>0.318653266102106</v>
      </c>
      <c r="J105" s="2" t="s">
        <v>34</v>
      </c>
      <c r="K105" s="42" t="s">
        <v>142</v>
      </c>
      <c r="L105" s="42"/>
      <c r="M105" s="6"/>
      <c r="N105" s="6"/>
      <c r="O105" s="6"/>
      <c r="P105" s="7"/>
      <c r="Q105" s="7"/>
      <c r="R105" s="6"/>
      <c r="S105" s="6"/>
    </row>
    <row r="106" spans="1:1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7"/>
      <c r="Q106" s="7"/>
      <c r="R106" s="6"/>
      <c r="S106" s="6"/>
    </row>
  </sheetData>
  <mergeCells count="21">
    <mergeCell ref="H26:J31"/>
    <mergeCell ref="F105:H105"/>
    <mergeCell ref="K105:L105"/>
    <mergeCell ref="B2:C2"/>
    <mergeCell ref="G2:H2"/>
    <mergeCell ref="B6:D6"/>
    <mergeCell ref="A14:M14"/>
    <mergeCell ref="L15:S36"/>
    <mergeCell ref="B22:H22"/>
    <mergeCell ref="A24:G31"/>
    <mergeCell ref="O71:P71"/>
    <mergeCell ref="M3:O3"/>
    <mergeCell ref="M4:O4"/>
    <mergeCell ref="M5:O5"/>
    <mergeCell ref="M6:O6"/>
    <mergeCell ref="O77:P77"/>
    <mergeCell ref="A95:L95"/>
    <mergeCell ref="A37:J37"/>
    <mergeCell ref="A39:F44"/>
    <mergeCell ref="A51:L51"/>
    <mergeCell ref="A66:I77"/>
  </mergeCells>
  <printOptions/>
  <pageMargins left="0.75" right="0.75" top="1" bottom="1" header="0.5" footer="0.5"/>
  <pageSetup orientation="portrait" r:id="rId6"/>
  <drawing r:id="rId5"/>
  <legacyDrawing r:id="rId4"/>
  <oleObjects>
    <oleObject progId="Equation.3" shapeId="3363691" r:id="rId1"/>
    <oleObject progId="Equation.3" shapeId="3406581" r:id="rId2"/>
    <oleObject progId="Equation.3" shapeId="369699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workbookViewId="0" topLeftCell="A1">
      <selection activeCell="D28" sqref="D28"/>
    </sheetView>
  </sheetViews>
  <sheetFormatPr defaultColWidth="9.140625" defaultRowHeight="12.75"/>
  <cols>
    <col min="5" max="5" width="11.57421875" style="0" customWidth="1"/>
    <col min="9" max="9" width="10.421875" style="0" customWidth="1"/>
    <col min="13" max="13" width="10.8515625" style="0" customWidth="1"/>
  </cols>
  <sheetData>
    <row r="1" spans="1:9" ht="12.75">
      <c r="A1" s="46" t="s">
        <v>85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3" ht="12.75">
      <c r="A3" s="21" t="s">
        <v>86</v>
      </c>
      <c r="B3" s="22">
        <f>Gabarito!B10/1000</f>
        <v>0.0525</v>
      </c>
      <c r="C3" s="23" t="s">
        <v>34</v>
      </c>
    </row>
    <row r="4" spans="1:3" ht="12.75" customHeight="1">
      <c r="A4" s="24" t="s">
        <v>87</v>
      </c>
      <c r="B4" s="25">
        <f>Gabarito!J5/Gabarito!J3</f>
        <v>7.914427760759303E-07</v>
      </c>
      <c r="C4" s="23" t="s">
        <v>88</v>
      </c>
    </row>
    <row r="5" spans="1:3" ht="12.75" customHeight="1">
      <c r="A5" s="26" t="s">
        <v>89</v>
      </c>
      <c r="B5" s="25">
        <v>4.6E-05</v>
      </c>
      <c r="C5" s="23" t="s">
        <v>34</v>
      </c>
    </row>
    <row r="6" spans="1:3" ht="12.75" customHeight="1">
      <c r="A6" s="27" t="s">
        <v>90</v>
      </c>
      <c r="B6" s="28">
        <v>7.07</v>
      </c>
      <c r="C6" s="23" t="s">
        <v>91</v>
      </c>
    </row>
    <row r="7" spans="4:32" s="29" customFormat="1" ht="12.75">
      <c r="D7" s="29" t="s">
        <v>92</v>
      </c>
      <c r="H7" s="29" t="s">
        <v>92</v>
      </c>
      <c r="L7" s="29" t="s">
        <v>92</v>
      </c>
      <c r="P7" s="29" t="s">
        <v>92</v>
      </c>
      <c r="T7" s="29" t="s">
        <v>92</v>
      </c>
      <c r="X7" s="29" t="s">
        <v>92</v>
      </c>
      <c r="AB7" s="29" t="s">
        <v>92</v>
      </c>
      <c r="AF7" s="29" t="s">
        <v>92</v>
      </c>
    </row>
    <row r="8" spans="1:32" ht="12.75">
      <c r="A8" s="27" t="s">
        <v>93</v>
      </c>
      <c r="B8" s="27" t="s">
        <v>46</v>
      </c>
      <c r="C8" s="27" t="s">
        <v>94</v>
      </c>
      <c r="D8" s="30" t="s">
        <v>95</v>
      </c>
      <c r="E8" s="27" t="s">
        <v>96</v>
      </c>
      <c r="F8" s="27" t="s">
        <v>97</v>
      </c>
      <c r="G8" s="27" t="s">
        <v>98</v>
      </c>
      <c r="H8" s="30" t="s">
        <v>99</v>
      </c>
      <c r="I8" s="27" t="s">
        <v>100</v>
      </c>
      <c r="J8" s="27" t="s">
        <v>101</v>
      </c>
      <c r="K8" s="27" t="s">
        <v>102</v>
      </c>
      <c r="L8" s="30" t="s">
        <v>103</v>
      </c>
      <c r="M8" s="27" t="s">
        <v>104</v>
      </c>
      <c r="N8" s="27" t="s">
        <v>105</v>
      </c>
      <c r="O8" s="27" t="s">
        <v>106</v>
      </c>
      <c r="P8" s="30" t="s">
        <v>107</v>
      </c>
      <c r="Q8" s="27" t="s">
        <v>108</v>
      </c>
      <c r="R8" s="27" t="s">
        <v>109</v>
      </c>
      <c r="S8" s="27" t="s">
        <v>110</v>
      </c>
      <c r="T8" s="30" t="s">
        <v>111</v>
      </c>
      <c r="U8" s="27" t="s">
        <v>112</v>
      </c>
      <c r="V8" s="27" t="s">
        <v>113</v>
      </c>
      <c r="W8" s="27" t="s">
        <v>114</v>
      </c>
      <c r="X8" s="30" t="s">
        <v>115</v>
      </c>
      <c r="Y8" s="27" t="s">
        <v>116</v>
      </c>
      <c r="Z8" s="27" t="s">
        <v>117</v>
      </c>
      <c r="AA8" s="27" t="s">
        <v>118</v>
      </c>
      <c r="AB8" s="30" t="s">
        <v>119</v>
      </c>
      <c r="AC8" s="27" t="s">
        <v>120</v>
      </c>
      <c r="AD8" s="27" t="s">
        <v>121</v>
      </c>
      <c r="AE8" s="27" t="s">
        <v>122</v>
      </c>
      <c r="AF8" s="30" t="s">
        <v>123</v>
      </c>
    </row>
    <row r="9" spans="1:32" ht="12.75">
      <c r="A9" s="27">
        <v>1</v>
      </c>
      <c r="B9" s="25">
        <f>D20/1000</f>
        <v>0.0019444444444444444</v>
      </c>
      <c r="C9" s="25">
        <f>(4*B9)/(3.14*$B$3*$B$4)</f>
        <v>59613.83479246973</v>
      </c>
      <c r="D9" s="31">
        <f>IF(C9&lt;=2000,64/C9,0)</f>
        <v>0</v>
      </c>
      <c r="E9" s="25">
        <f>IF($C9&gt;=2000,LOG(((0.27*$B$5)/($B$3))+((2.51*3.14*$B$3*$B$4*$B$6)/(4*$B9))),0)</f>
        <v>-3.2722563034043772</v>
      </c>
      <c r="F9" s="28">
        <f>$B$6-(($B$6+2*$E9)/(1+(5.02)/((((0.27*4*$B$5*$B9)/(3.14*$B$3^2*$B$4))+(2.51*$B$6))*2.302)))</f>
        <v>6.578187570923436</v>
      </c>
      <c r="G9" s="28">
        <f>($B$6-F9)</f>
        <v>0.491812429076564</v>
      </c>
      <c r="H9" s="32">
        <f>IF(AND(G9&gt;=-0.0001,G9&lt;=0.0001),1/F9^2,0)</f>
        <v>0</v>
      </c>
      <c r="I9" s="25">
        <f>IF(AND(H9=0,E9&lt;&gt;0),LOG(((0.27*$B$5)/($B$3))+((2.51*3.14*$B$3*$B$4*F9)/(4*$B9))),0)</f>
        <v>-3.289424416089507</v>
      </c>
      <c r="J9" s="28">
        <f>F9-((F9+2*I9)/(1+(5.02)/((((0.27*4*$B$5*$B9)/(3.14*$B$3^2*$B$4))+(2.51*F9))*2.302)))</f>
        <v>6.578804861289311</v>
      </c>
      <c r="K9" s="28">
        <f>F9-J9</f>
        <v>-0.0006172903658745454</v>
      </c>
      <c r="L9" s="32">
        <f>IF(AND(K9&gt;=-0.0001,K9&lt;0),1/J9^2,0)</f>
        <v>0</v>
      </c>
      <c r="M9" s="25">
        <f>IF(AND(L9=0,I9&lt;&gt;0),LOG(((0.27*$B$5)/($B$3))+((2.51*3.14*$B$3*$B$4*J9)/(4*$B9))),0)</f>
        <v>-3.289402436787402</v>
      </c>
      <c r="N9" s="28">
        <f>J9-((J9+2*M9)/(1+(5.02)/((((0.27*4*$B$5*$B9)/(3.14*$B$3^2*$B$4))+(2.51*J9))*2.302)))</f>
        <v>6.578804872757913</v>
      </c>
      <c r="O9" s="28">
        <f>J9-N9</f>
        <v>-1.1468602068021028E-08</v>
      </c>
      <c r="P9" s="32">
        <f>IF(AND(O9&gt;=-0.0001,O9&lt;0),1/N9^2,0)</f>
        <v>0.023105000867336634</v>
      </c>
      <c r="Q9" s="25">
        <f>IF(AND(P9=0,M9&lt;&gt;0),LOG(((0.27*$B$5)/($B$3))+((2.51*3.14*$B$3*$B$4*N9)/(4*$B9))),0)</f>
        <v>0</v>
      </c>
      <c r="R9" s="28">
        <f>IF(P9=0,N9-((N9+2*Q9)/(1+(5.02)/((((0.27*4*$B$5*$B9)/(3.14*$B$3^2*$B$4))+(2.51*N9))*2.302))),0)</f>
        <v>0</v>
      </c>
      <c r="S9" s="28">
        <f>N9-R9</f>
        <v>6.578804872757913</v>
      </c>
      <c r="T9" s="32">
        <f>IF(AND(S9&gt;=-0.0001,S9&lt;0),1/R9^2,0)</f>
        <v>0</v>
      </c>
      <c r="U9" s="25">
        <f>IF(AND(T9=0,Q9&lt;&gt;0),LOG(((0.27*$B$5)/($B$3))+((2.51*3.14*$B$3*$B$4*R9)/(4*$B9))),0)</f>
        <v>0</v>
      </c>
      <c r="V9" s="28">
        <f>R9-((R9+2*U9)/(1+(5.02)/((((0.27*4*$B$5*$B9)/(3.14*$B$3^2*$B$4))+(2.51*R9))*2.302)))</f>
        <v>0</v>
      </c>
      <c r="W9" s="28">
        <f>R9-V9</f>
        <v>0</v>
      </c>
      <c r="X9" s="32">
        <f>IF(AND(W9&gt;=-0.0001,W9&lt;0),1/V9^2,0)</f>
        <v>0</v>
      </c>
      <c r="Y9" s="25">
        <f>IF(AND(X9=0,U9&lt;&gt;0),LOG(((0.27*$B$5)/($B$3))+((2.51*3.14*$B$3*$B$4*V9)/(4*$B9))),0)</f>
        <v>0</v>
      </c>
      <c r="Z9" s="28">
        <f>V9-((V9+2*Y9)/(1+(5.02)/((((0.27*4*$B$5*$B9)/(3.14*$B$3^2*$B$4))+(2.51*V9))*2.302)))</f>
        <v>0</v>
      </c>
      <c r="AA9" s="28">
        <f>V9-Z9</f>
        <v>0</v>
      </c>
      <c r="AB9" s="32">
        <f>IF(AND(AA9&gt;=-0.0001,AA9&lt;0),1/Z9^2,0)</f>
        <v>0</v>
      </c>
      <c r="AC9" s="25">
        <f>IF(AND(AB9=0,Y9&lt;&gt;0),LOG(((0.27*$B$5)/($B$3))+((2.51*3.14*$B$3*$B$4*Z9)/(4*$B9))),0)</f>
        <v>0</v>
      </c>
      <c r="AD9" s="28">
        <f>Z9-((Z9+2*AC9)/(1+(5.02)/((((0.27*4*$B$5*$B9)/(3.14*$B$3^2*$B$4))+(2.51*Z9))*2.302)))</f>
        <v>0</v>
      </c>
      <c r="AE9" s="28">
        <f>Z9-AD9</f>
        <v>0</v>
      </c>
      <c r="AF9" s="32">
        <f>IF(AND(AE9&gt;=-0.0001,AE9&lt;0),1/AD9^2,0)</f>
        <v>0</v>
      </c>
    </row>
    <row r="10" spans="1:32" ht="12.75">
      <c r="A10" s="27">
        <v>2</v>
      </c>
      <c r="B10" s="25">
        <f aca="true" t="shared" si="0" ref="B10:B16">D21/1000</f>
        <v>0.0026666666666666666</v>
      </c>
      <c r="C10" s="25">
        <f aca="true" t="shared" si="1" ref="C10:C18">(4*B10)/(3.14*$B$3*$B$4)</f>
        <v>81756.11628681562</v>
      </c>
      <c r="D10" s="31">
        <f aca="true" t="shared" si="2" ref="D10:D18">IF(C10&lt;=2000,64/C10,0)</f>
        <v>0</v>
      </c>
      <c r="E10" s="25">
        <f aca="true" t="shared" si="3" ref="E10:E18">IF($C10&gt;=2000,LOG(((0.27*$B$5)/($B$3))+((2.51*3.14*$B$3*$B$4*$B$6)/(4*$B10))),0)</f>
        <v>-3.3433001735106007</v>
      </c>
      <c r="F10" s="28">
        <f aca="true" t="shared" si="4" ref="F10:F18">$B$6-(($B$6+2*$E10)/(1+(5.02)/((((0.27*4*$B$5*$B10)/(3.14*$B$3^2*$B$4))+(2.51*$B$6))*2.302)))</f>
        <v>6.70789232686407</v>
      </c>
      <c r="G10" s="28">
        <f aca="true" t="shared" si="5" ref="G10:G18">($B$6-F10)</f>
        <v>0.36210767313593006</v>
      </c>
      <c r="H10" s="32">
        <f aca="true" t="shared" si="6" ref="H10:H16">IF(AND(G10&gt;=-0.0001,G10&lt;=0.0001),1/F10^2,0)</f>
        <v>0</v>
      </c>
      <c r="I10" s="25">
        <f aca="true" t="shared" si="7" ref="I10:I16">IF(AND(H10=0,E10&lt;&gt;0),LOG(((0.27*$B$5)/($B$3))+((2.51*3.14*$B$3*$B$4*F10)/(4*$B10))),0)</f>
        <v>-3.3540760468344812</v>
      </c>
      <c r="J10" s="28">
        <f aca="true" t="shared" si="8" ref="J10:J16">F10-((F10+2*I10)/(1+(5.02)/((((0.27*4*$B$5*$B10)/(3.14*$B$3^2*$B$4))+(2.51*F10))*2.302)))</f>
        <v>6.70813732578204</v>
      </c>
      <c r="K10" s="28">
        <f aca="true" t="shared" si="9" ref="K10:K16">F10-J10</f>
        <v>-0.0002449989179700296</v>
      </c>
      <c r="L10" s="32">
        <f aca="true" t="shared" si="10" ref="L10:L16">IF(AND(K10&gt;=-0.0001,K10&lt;0),1/J10^2,0)</f>
        <v>0</v>
      </c>
      <c r="M10" s="25">
        <f aca="true" t="shared" si="11" ref="M10:M16">IF(AND(L10=0,I10&lt;&gt;0),LOG(((0.27*$B$5)/($B$3))+((2.51*3.14*$B$3*$B$4*J10)/(4*$B10))),0)</f>
        <v>-3.354068664830039</v>
      </c>
      <c r="N10" s="28">
        <f aca="true" t="shared" si="12" ref="N10:N16">J10-((J10+2*M10)/(1+(5.02)/((((0.27*4*$B$5*$B10)/(3.14*$B$3^2*$B$4))+(2.51*J10))*2.302)))</f>
        <v>6.708137329439612</v>
      </c>
      <c r="O10" s="28">
        <f aca="true" t="shared" si="13" ref="O10:O16">J10-N10</f>
        <v>-3.6575720230302977E-09</v>
      </c>
      <c r="P10" s="32">
        <f aca="true" t="shared" si="14" ref="P10:P16">IF(AND(O10&gt;=-0.0001,O10&lt;0),1/N10^2,0)</f>
        <v>0.022222663499813746</v>
      </c>
      <c r="Q10" s="25">
        <f aca="true" t="shared" si="15" ref="Q10:Q16">IF(AND(P10=0,M10&lt;&gt;0),LOG(((0.27*$B$5)/($B$3))+((2.51*3.14*$B$3*$B$4*N10)/(4*$B10))),0)</f>
        <v>0</v>
      </c>
      <c r="R10" s="28">
        <f aca="true" t="shared" si="16" ref="R10:R16">IF(P10=0,N10-((N10+2*Q10)/(1+(5.02)/((((0.27*4*$B$5*$B10)/(3.14*$B$3^2*$B$4))+(2.51*N10))*2.302))),0)</f>
        <v>0</v>
      </c>
      <c r="S10" s="28">
        <f aca="true" t="shared" si="17" ref="S10:S16">N10-R10</f>
        <v>6.708137329439612</v>
      </c>
      <c r="T10" s="32">
        <f aca="true" t="shared" si="18" ref="T10:T16">IF(AND(S10&gt;=-0.0001,S10&lt;0),1/R10^2,0)</f>
        <v>0</v>
      </c>
      <c r="U10" s="25">
        <f aca="true" t="shared" si="19" ref="U10:U16">IF(AND(T10=0,Q10&lt;&gt;0),LOG(((0.27*$B$5)/($B$3))+((2.51*3.14*$B$3*$B$4*R10)/(4*$B10))),0)</f>
        <v>0</v>
      </c>
      <c r="V10" s="28">
        <f aca="true" t="shared" si="20" ref="V10:V16">R10-((R10+2*U10)/(1+(5.02)/((((0.27*4*$B$5*$B10)/(3.14*$B$3^2*$B$4))+(2.51*R10))*2.302)))</f>
        <v>0</v>
      </c>
      <c r="W10" s="28">
        <f aca="true" t="shared" si="21" ref="W10:W16">R10-V10</f>
        <v>0</v>
      </c>
      <c r="X10" s="32">
        <f aca="true" t="shared" si="22" ref="X10:X16">IF(AND(W10&gt;=-0.0001,W10&lt;0),1/V10^2,0)</f>
        <v>0</v>
      </c>
      <c r="Y10" s="25">
        <f aca="true" t="shared" si="23" ref="Y10:Y16">IF(AND(X10=0,U10&lt;&gt;0),LOG(((0.27*$B$5)/($B$3))+((2.51*3.14*$B$3*$B$4*V10)/(4*$B10))),0)</f>
        <v>0</v>
      </c>
      <c r="Z10" s="28">
        <f aca="true" t="shared" si="24" ref="Z10:Z16">V10-((V10+2*Y10)/(1+(5.02)/((((0.27*4*$B$5*$B10)/(3.14*$B$3^2*$B$4))+(2.51*V10))*2.302)))</f>
        <v>0</v>
      </c>
      <c r="AA10" s="28">
        <f aca="true" t="shared" si="25" ref="AA10:AA16">V10-Z10</f>
        <v>0</v>
      </c>
      <c r="AB10" s="32">
        <f aca="true" t="shared" si="26" ref="AB10:AB16">IF(AND(AA10&gt;=-0.0001,AA10&lt;0),1/Z10^2,0)</f>
        <v>0</v>
      </c>
      <c r="AC10" s="25">
        <f aca="true" t="shared" si="27" ref="AC10:AC16">IF(AND(AB10=0,Y10&lt;&gt;0),LOG(((0.27*$B$5)/($B$3))+((2.51*3.14*$B$3*$B$4*Z10)/(4*$B10))),0)</f>
        <v>0</v>
      </c>
      <c r="AD10" s="28">
        <f aca="true" t="shared" si="28" ref="AD10:AD16">Z10-((Z10+2*AC10)/(1+(5.02)/((((0.27*4*$B$5*$B10)/(3.14*$B$3^2*$B$4))+(2.51*Z10))*2.302)))</f>
        <v>0</v>
      </c>
      <c r="AE10" s="28">
        <f aca="true" t="shared" si="29" ref="AE10:AE16">Z10-AD10</f>
        <v>0</v>
      </c>
      <c r="AF10" s="32">
        <f aca="true" t="shared" si="30" ref="AF10:AF16">IF(AND(AE10&gt;=-0.0001,AE10&lt;0),1/AD10^2,0)</f>
        <v>0</v>
      </c>
    </row>
    <row r="11" spans="1:32" ht="12.75">
      <c r="A11" s="27">
        <v>3</v>
      </c>
      <c r="B11" s="25">
        <f t="shared" si="0"/>
        <v>0.0029166666666666664</v>
      </c>
      <c r="C11" s="25">
        <f t="shared" si="1"/>
        <v>89420.75218870459</v>
      </c>
      <c r="D11" s="31">
        <f t="shared" si="2"/>
        <v>0</v>
      </c>
      <c r="E11" s="25">
        <f t="shared" si="3"/>
        <v>-3.3614876558051505</v>
      </c>
      <c r="F11" s="28">
        <f t="shared" si="4"/>
        <v>6.7413965914051515</v>
      </c>
      <c r="G11" s="28">
        <f t="shared" si="5"/>
        <v>0.3286034085948488</v>
      </c>
      <c r="H11" s="32">
        <f t="shared" si="6"/>
        <v>0</v>
      </c>
      <c r="I11" s="25">
        <f t="shared" si="7"/>
        <v>-3.3707949787735876</v>
      </c>
      <c r="J11" s="28">
        <f t="shared" si="8"/>
        <v>6.741579482690941</v>
      </c>
      <c r="K11" s="28">
        <f t="shared" si="9"/>
        <v>-0.00018289128578974356</v>
      </c>
      <c r="L11" s="32">
        <f t="shared" si="10"/>
        <v>0</v>
      </c>
      <c r="M11" s="25">
        <f t="shared" si="11"/>
        <v>-3.370789742707879</v>
      </c>
      <c r="N11" s="28">
        <f t="shared" si="12"/>
        <v>6.741579485268153</v>
      </c>
      <c r="O11" s="28">
        <f t="shared" si="13"/>
        <v>-2.5772122214107185E-09</v>
      </c>
      <c r="P11" s="32">
        <f t="shared" si="14"/>
        <v>0.022002735665338183</v>
      </c>
      <c r="Q11" s="25">
        <f t="shared" si="15"/>
        <v>0</v>
      </c>
      <c r="R11" s="28">
        <f t="shared" si="16"/>
        <v>0</v>
      </c>
      <c r="S11" s="28">
        <f t="shared" si="17"/>
        <v>6.741579485268153</v>
      </c>
      <c r="T11" s="32">
        <f t="shared" si="18"/>
        <v>0</v>
      </c>
      <c r="U11" s="25">
        <f t="shared" si="19"/>
        <v>0</v>
      </c>
      <c r="V11" s="28">
        <f t="shared" si="20"/>
        <v>0</v>
      </c>
      <c r="W11" s="28">
        <f t="shared" si="21"/>
        <v>0</v>
      </c>
      <c r="X11" s="32">
        <f t="shared" si="22"/>
        <v>0</v>
      </c>
      <c r="Y11" s="25">
        <f t="shared" si="23"/>
        <v>0</v>
      </c>
      <c r="Z11" s="28">
        <f t="shared" si="24"/>
        <v>0</v>
      </c>
      <c r="AA11" s="28">
        <f t="shared" si="25"/>
        <v>0</v>
      </c>
      <c r="AB11" s="32">
        <f t="shared" si="26"/>
        <v>0</v>
      </c>
      <c r="AC11" s="25">
        <f t="shared" si="27"/>
        <v>0</v>
      </c>
      <c r="AD11" s="28">
        <f t="shared" si="28"/>
        <v>0</v>
      </c>
      <c r="AE11" s="28">
        <f t="shared" si="29"/>
        <v>0</v>
      </c>
      <c r="AF11" s="32">
        <f t="shared" si="30"/>
        <v>0</v>
      </c>
    </row>
    <row r="12" spans="1:32" ht="12.75">
      <c r="A12" s="27">
        <v>4</v>
      </c>
      <c r="B12" s="25">
        <f t="shared" si="0"/>
        <v>0.0030555555555555553</v>
      </c>
      <c r="C12" s="25">
        <f t="shared" si="1"/>
        <v>93678.88324530957</v>
      </c>
      <c r="D12" s="31">
        <f t="shared" si="2"/>
        <v>0</v>
      </c>
      <c r="E12" s="25">
        <f t="shared" si="3"/>
        <v>-3.370587756716394</v>
      </c>
      <c r="F12" s="28">
        <f t="shared" si="4"/>
        <v>6.758212885676034</v>
      </c>
      <c r="G12" s="28">
        <f t="shared" si="5"/>
        <v>0.3117871143239661</v>
      </c>
      <c r="H12" s="32">
        <f t="shared" si="6"/>
        <v>0</v>
      </c>
      <c r="I12" s="25">
        <f t="shared" si="7"/>
        <v>-3.37918889077216</v>
      </c>
      <c r="J12" s="28">
        <f t="shared" si="8"/>
        <v>6.758369075928255</v>
      </c>
      <c r="K12" s="28">
        <f t="shared" si="9"/>
        <v>-0.00015619025222068927</v>
      </c>
      <c r="L12" s="32">
        <f t="shared" si="10"/>
        <v>0</v>
      </c>
      <c r="M12" s="25">
        <f t="shared" si="11"/>
        <v>-3.3791845390919897</v>
      </c>
      <c r="N12" s="28">
        <f t="shared" si="12"/>
        <v>6.758369078064891</v>
      </c>
      <c r="O12" s="28">
        <f t="shared" si="13"/>
        <v>-2.13663575721057E-09</v>
      </c>
      <c r="P12" s="32">
        <f t="shared" si="14"/>
        <v>0.021893550119893752</v>
      </c>
      <c r="Q12" s="25">
        <f t="shared" si="15"/>
        <v>0</v>
      </c>
      <c r="R12" s="28">
        <f t="shared" si="16"/>
        <v>0</v>
      </c>
      <c r="S12" s="28">
        <f t="shared" si="17"/>
        <v>6.758369078064891</v>
      </c>
      <c r="T12" s="32">
        <f t="shared" si="18"/>
        <v>0</v>
      </c>
      <c r="U12" s="25">
        <f t="shared" si="19"/>
        <v>0</v>
      </c>
      <c r="V12" s="28">
        <f t="shared" si="20"/>
        <v>0</v>
      </c>
      <c r="W12" s="28">
        <f t="shared" si="21"/>
        <v>0</v>
      </c>
      <c r="X12" s="32">
        <f t="shared" si="22"/>
        <v>0</v>
      </c>
      <c r="Y12" s="25">
        <f t="shared" si="23"/>
        <v>0</v>
      </c>
      <c r="Z12" s="28">
        <f t="shared" si="24"/>
        <v>0</v>
      </c>
      <c r="AA12" s="28">
        <f t="shared" si="25"/>
        <v>0</v>
      </c>
      <c r="AB12" s="32">
        <f t="shared" si="26"/>
        <v>0</v>
      </c>
      <c r="AC12" s="25">
        <f t="shared" si="27"/>
        <v>0</v>
      </c>
      <c r="AD12" s="28">
        <f t="shared" si="28"/>
        <v>0</v>
      </c>
      <c r="AE12" s="28">
        <f t="shared" si="29"/>
        <v>0</v>
      </c>
      <c r="AF12" s="32">
        <f t="shared" si="30"/>
        <v>0</v>
      </c>
    </row>
    <row r="13" spans="1:32" ht="12.75">
      <c r="A13" s="27">
        <v>5</v>
      </c>
      <c r="B13" s="25">
        <f t="shared" si="0"/>
        <v>0.003194444444444444</v>
      </c>
      <c r="C13" s="25">
        <f t="shared" si="1"/>
        <v>97937.01430191455</v>
      </c>
      <c r="D13" s="31">
        <f t="shared" si="2"/>
        <v>0</v>
      </c>
      <c r="E13" s="25">
        <f t="shared" si="3"/>
        <v>-3.3790664339741974</v>
      </c>
      <c r="F13" s="28">
        <f t="shared" si="4"/>
        <v>6.773913920335823</v>
      </c>
      <c r="G13" s="28">
        <f t="shared" si="5"/>
        <v>0.2960860796641773</v>
      </c>
      <c r="H13" s="32">
        <f t="shared" si="6"/>
        <v>0</v>
      </c>
      <c r="I13" s="25">
        <f t="shared" si="7"/>
        <v>-3.387027478227216</v>
      </c>
      <c r="J13" s="28">
        <f t="shared" si="8"/>
        <v>6.7740476945358</v>
      </c>
      <c r="K13" s="28">
        <f t="shared" si="9"/>
        <v>-0.00013377419997695483</v>
      </c>
      <c r="L13" s="32">
        <f t="shared" si="10"/>
        <v>0</v>
      </c>
      <c r="M13" s="25">
        <f t="shared" si="11"/>
        <v>-3.3870238482057067</v>
      </c>
      <c r="N13" s="28">
        <f t="shared" si="12"/>
        <v>6.774047696314839</v>
      </c>
      <c r="O13" s="28">
        <f t="shared" si="13"/>
        <v>-1.7790391382277448E-09</v>
      </c>
      <c r="P13" s="32">
        <f t="shared" si="14"/>
        <v>0.021792321610931115</v>
      </c>
      <c r="Q13" s="25">
        <f t="shared" si="15"/>
        <v>0</v>
      </c>
      <c r="R13" s="28">
        <f t="shared" si="16"/>
        <v>0</v>
      </c>
      <c r="S13" s="28">
        <f t="shared" si="17"/>
        <v>6.774047696314839</v>
      </c>
      <c r="T13" s="32">
        <f t="shared" si="18"/>
        <v>0</v>
      </c>
      <c r="U13" s="25">
        <f t="shared" si="19"/>
        <v>0</v>
      </c>
      <c r="V13" s="28">
        <f t="shared" si="20"/>
        <v>0</v>
      </c>
      <c r="W13" s="28">
        <f t="shared" si="21"/>
        <v>0</v>
      </c>
      <c r="X13" s="32">
        <f t="shared" si="22"/>
        <v>0</v>
      </c>
      <c r="Y13" s="25">
        <f t="shared" si="23"/>
        <v>0</v>
      </c>
      <c r="Z13" s="28">
        <f t="shared" si="24"/>
        <v>0</v>
      </c>
      <c r="AA13" s="28">
        <f t="shared" si="25"/>
        <v>0</v>
      </c>
      <c r="AB13" s="32">
        <f t="shared" si="26"/>
        <v>0</v>
      </c>
      <c r="AC13" s="25">
        <f t="shared" si="27"/>
        <v>0</v>
      </c>
      <c r="AD13" s="28">
        <f t="shared" si="28"/>
        <v>0</v>
      </c>
      <c r="AE13" s="28">
        <f t="shared" si="29"/>
        <v>0</v>
      </c>
      <c r="AF13" s="32">
        <f t="shared" si="30"/>
        <v>0</v>
      </c>
    </row>
    <row r="14" spans="1:32" ht="12.75">
      <c r="A14" s="27">
        <v>6</v>
      </c>
      <c r="B14" s="25">
        <f t="shared" si="0"/>
        <v>0.003333333333333333</v>
      </c>
      <c r="C14" s="25">
        <f t="shared" si="1"/>
        <v>102195.14535851954</v>
      </c>
      <c r="D14" s="31">
        <f t="shared" si="2"/>
        <v>0</v>
      </c>
      <c r="E14" s="25">
        <f t="shared" si="3"/>
        <v>-3.3869867022911992</v>
      </c>
      <c r="F14" s="28">
        <f t="shared" si="4"/>
        <v>6.788610750472708</v>
      </c>
      <c r="G14" s="28">
        <f t="shared" si="5"/>
        <v>0.28138924952729205</v>
      </c>
      <c r="H14" s="32">
        <f t="shared" si="6"/>
        <v>0</v>
      </c>
      <c r="I14" s="25">
        <f t="shared" si="7"/>
        <v>-3.394365851996854</v>
      </c>
      <c r="J14" s="28">
        <f t="shared" si="8"/>
        <v>6.788725625983307</v>
      </c>
      <c r="K14" s="28">
        <f t="shared" si="9"/>
        <v>-0.0001148755105990773</v>
      </c>
      <c r="L14" s="32">
        <f t="shared" si="10"/>
        <v>0</v>
      </c>
      <c r="M14" s="25">
        <f t="shared" si="11"/>
        <v>-3.3943628137745003</v>
      </c>
      <c r="N14" s="28">
        <f t="shared" si="12"/>
        <v>6.788725627470324</v>
      </c>
      <c r="O14" s="28">
        <f t="shared" si="13"/>
        <v>-1.48701673197138E-09</v>
      </c>
      <c r="P14" s="32">
        <f t="shared" si="14"/>
        <v>0.021698188949852086</v>
      </c>
      <c r="Q14" s="25">
        <f t="shared" si="15"/>
        <v>0</v>
      </c>
      <c r="R14" s="28">
        <f t="shared" si="16"/>
        <v>0</v>
      </c>
      <c r="S14" s="28">
        <f t="shared" si="17"/>
        <v>6.788725627470324</v>
      </c>
      <c r="T14" s="32">
        <f t="shared" si="18"/>
        <v>0</v>
      </c>
      <c r="U14" s="25">
        <f t="shared" si="19"/>
        <v>0</v>
      </c>
      <c r="V14" s="28">
        <f t="shared" si="20"/>
        <v>0</v>
      </c>
      <c r="W14" s="28">
        <f t="shared" si="21"/>
        <v>0</v>
      </c>
      <c r="X14" s="32">
        <f t="shared" si="22"/>
        <v>0</v>
      </c>
      <c r="Y14" s="25">
        <f t="shared" si="23"/>
        <v>0</v>
      </c>
      <c r="Z14" s="28">
        <f t="shared" si="24"/>
        <v>0</v>
      </c>
      <c r="AA14" s="28">
        <f t="shared" si="25"/>
        <v>0</v>
      </c>
      <c r="AB14" s="32">
        <f t="shared" si="26"/>
        <v>0</v>
      </c>
      <c r="AC14" s="25">
        <f t="shared" si="27"/>
        <v>0</v>
      </c>
      <c r="AD14" s="28">
        <f t="shared" si="28"/>
        <v>0</v>
      </c>
      <c r="AE14" s="28">
        <f t="shared" si="29"/>
        <v>0</v>
      </c>
      <c r="AF14" s="32">
        <f t="shared" si="30"/>
        <v>0</v>
      </c>
    </row>
    <row r="15" spans="1:32" ht="12.75">
      <c r="A15" s="27">
        <v>7</v>
      </c>
      <c r="B15" s="25">
        <f t="shared" si="0"/>
        <v>0.0034722222222222225</v>
      </c>
      <c r="C15" s="25">
        <f t="shared" si="1"/>
        <v>106453.27641512454</v>
      </c>
      <c r="D15" s="31">
        <f t="shared" si="2"/>
        <v>0</v>
      </c>
      <c r="E15" s="25">
        <f t="shared" si="3"/>
        <v>-3.3944031651954814</v>
      </c>
      <c r="F15" s="28">
        <f t="shared" si="4"/>
        <v>6.802399759592885</v>
      </c>
      <c r="G15" s="28">
        <f t="shared" si="5"/>
        <v>0.2676002404071154</v>
      </c>
      <c r="H15" s="32">
        <f t="shared" si="6"/>
        <v>0</v>
      </c>
      <c r="I15" s="25">
        <f t="shared" si="7"/>
        <v>-3.401251871102903</v>
      </c>
      <c r="J15" s="28">
        <f t="shared" si="8"/>
        <v>6.802498639513899</v>
      </c>
      <c r="K15" s="28">
        <f t="shared" si="9"/>
        <v>-9.887992101376142E-05</v>
      </c>
      <c r="L15" s="32">
        <f t="shared" si="10"/>
        <v>0.02161041329755263</v>
      </c>
      <c r="M15" s="25">
        <f t="shared" si="11"/>
        <v>0</v>
      </c>
      <c r="N15" s="28">
        <f t="shared" si="12"/>
        <v>0.3338140860601717</v>
      </c>
      <c r="O15" s="28">
        <f t="shared" si="13"/>
        <v>6.468684553453727</v>
      </c>
      <c r="P15" s="32">
        <f t="shared" si="14"/>
        <v>0</v>
      </c>
      <c r="Q15" s="25">
        <f t="shared" si="15"/>
        <v>0</v>
      </c>
      <c r="R15" s="28">
        <f t="shared" si="16"/>
        <v>0.025811732224477746</v>
      </c>
      <c r="S15" s="28">
        <f t="shared" si="17"/>
        <v>0.30800235383569396</v>
      </c>
      <c r="T15" s="32">
        <f t="shared" si="18"/>
        <v>0</v>
      </c>
      <c r="U15" s="25">
        <f t="shared" si="19"/>
        <v>0</v>
      </c>
      <c r="V15" s="28">
        <f t="shared" si="20"/>
        <v>0.0020521106212108738</v>
      </c>
      <c r="W15" s="28">
        <f t="shared" si="21"/>
        <v>0.023759621603266872</v>
      </c>
      <c r="X15" s="32">
        <f t="shared" si="22"/>
        <v>0</v>
      </c>
      <c r="Y15" s="25">
        <f t="shared" si="23"/>
        <v>0</v>
      </c>
      <c r="Z15" s="28">
        <f t="shared" si="24"/>
        <v>0.00016350447901040737</v>
      </c>
      <c r="AA15" s="28">
        <f t="shared" si="25"/>
        <v>0.0018886061422004664</v>
      </c>
      <c r="AB15" s="32">
        <f t="shared" si="26"/>
        <v>0</v>
      </c>
      <c r="AC15" s="25">
        <f t="shared" si="27"/>
        <v>0</v>
      </c>
      <c r="AD15" s="28">
        <f t="shared" si="28"/>
        <v>1.3029680484694892E-05</v>
      </c>
      <c r="AE15" s="28">
        <f t="shared" si="29"/>
        <v>0.00015047479852571248</v>
      </c>
      <c r="AF15" s="32">
        <f t="shared" si="30"/>
        <v>0</v>
      </c>
    </row>
    <row r="16" spans="1:32" ht="12.75">
      <c r="A16" s="27">
        <v>8</v>
      </c>
      <c r="B16" s="25">
        <f t="shared" si="0"/>
        <v>0.0035555555555555557</v>
      </c>
      <c r="C16" s="25">
        <f t="shared" si="1"/>
        <v>109008.15504908751</v>
      </c>
      <c r="D16" s="31">
        <f t="shared" si="2"/>
        <v>0</v>
      </c>
      <c r="E16" s="25">
        <f t="shared" si="3"/>
        <v>-3.3986312646932726</v>
      </c>
      <c r="F16" s="28">
        <f t="shared" si="4"/>
        <v>6.810272850690906</v>
      </c>
      <c r="G16" s="28">
        <f t="shared" si="5"/>
        <v>0.2597271493090947</v>
      </c>
      <c r="H16" s="32">
        <f t="shared" si="6"/>
        <v>0</v>
      </c>
      <c r="I16" s="25">
        <f t="shared" si="7"/>
        <v>-3.4051839586465475</v>
      </c>
      <c r="J16" s="28">
        <f t="shared" si="8"/>
        <v>6.810363316750648</v>
      </c>
      <c r="K16" s="28">
        <f t="shared" si="9"/>
        <v>-9.04660597420559E-05</v>
      </c>
      <c r="L16" s="32">
        <f t="shared" si="10"/>
        <v>0.02156053026415641</v>
      </c>
      <c r="M16" s="25">
        <f t="shared" si="11"/>
        <v>0</v>
      </c>
      <c r="N16" s="28">
        <f t="shared" si="12"/>
        <v>0.32957113145374084</v>
      </c>
      <c r="O16" s="28">
        <f t="shared" si="13"/>
        <v>6.480792185296907</v>
      </c>
      <c r="P16" s="32">
        <f t="shared" si="14"/>
        <v>0</v>
      </c>
      <c r="Q16" s="25">
        <f t="shared" si="15"/>
        <v>0</v>
      </c>
      <c r="R16" s="28">
        <f t="shared" si="16"/>
        <v>0.024958191902016424</v>
      </c>
      <c r="S16" s="28">
        <f t="shared" si="17"/>
        <v>0.3046129395517244</v>
      </c>
      <c r="T16" s="32">
        <f t="shared" si="18"/>
        <v>0</v>
      </c>
      <c r="U16" s="25">
        <f t="shared" si="19"/>
        <v>0</v>
      </c>
      <c r="V16" s="28">
        <f t="shared" si="20"/>
        <v>0.0019416191958139782</v>
      </c>
      <c r="W16" s="28">
        <f t="shared" si="21"/>
        <v>0.023016572706202446</v>
      </c>
      <c r="X16" s="32">
        <f t="shared" si="22"/>
        <v>0</v>
      </c>
      <c r="Y16" s="25">
        <f t="shared" si="23"/>
        <v>0</v>
      </c>
      <c r="Z16" s="28">
        <f t="shared" si="24"/>
        <v>0.00015135995015613216</v>
      </c>
      <c r="AA16" s="28">
        <f t="shared" si="25"/>
        <v>0.001790259245657846</v>
      </c>
      <c r="AB16" s="32">
        <f t="shared" si="26"/>
        <v>0</v>
      </c>
      <c r="AC16" s="25">
        <f t="shared" si="27"/>
        <v>0</v>
      </c>
      <c r="AD16" s="28">
        <f t="shared" si="28"/>
        <v>1.1801240560533276E-05</v>
      </c>
      <c r="AE16" s="28">
        <f t="shared" si="29"/>
        <v>0.00013955870959559888</v>
      </c>
      <c r="AF16" s="32">
        <f t="shared" si="30"/>
        <v>0</v>
      </c>
    </row>
    <row r="17" spans="1:32" ht="12.75">
      <c r="A17" s="34">
        <v>9</v>
      </c>
      <c r="B17" s="35">
        <f>D28/1000</f>
        <v>0.003787509003822432</v>
      </c>
      <c r="C17" s="35">
        <f t="shared" si="1"/>
        <v>116119.5099577005</v>
      </c>
      <c r="D17" s="36">
        <f t="shared" si="2"/>
        <v>0</v>
      </c>
      <c r="E17" s="35">
        <f t="shared" si="3"/>
        <v>-3.409610572735346</v>
      </c>
      <c r="F17" s="34">
        <f t="shared" si="4"/>
        <v>6.830759363098256</v>
      </c>
      <c r="G17" s="34">
        <f t="shared" si="5"/>
        <v>0.23924063690174435</v>
      </c>
      <c r="H17" s="36">
        <f>IF(AND(G17&gt;=-0.0001,G17&lt;=0.0001),1/F17^2,0)</f>
        <v>0</v>
      </c>
      <c r="I17" s="35">
        <f>IF(AND(H17=0,E17&lt;&gt;0),LOG(((0.27*$B$5)/($B$3))+((2.51*3.14*$B$3*$B$4*F17)/(4*$B17))),0)</f>
        <v>-3.4154168566566345</v>
      </c>
      <c r="J17" s="34">
        <f>F17-((F17+2*I17)/(1+(5.02)/((((0.27*4*$B$5*$B17)/(3.14*$B$3^2*$B$4))+(2.51*F17))*2.302)))</f>
        <v>6.830830248598642</v>
      </c>
      <c r="K17" s="34">
        <f>F17-J17</f>
        <v>-7.08855003859199E-05</v>
      </c>
      <c r="L17" s="36">
        <f>IF(AND(K17&gt;=-0.0001,K17&lt;0),1/J17^2,0)</f>
        <v>0.02143152198955543</v>
      </c>
      <c r="M17" s="35">
        <f>IF(AND(L17=0,I17&lt;&gt;0),LOG(((0.27*$B$5)/($B$3))+((2.51*3.14*$B$3*$B$4*J17)/(4*$B17))),0)</f>
        <v>0</v>
      </c>
      <c r="N17" s="34">
        <f>J17-((J17+2*M17)/(1+(5.02)/((((0.27*4*$B$5*$B17)/(3.14*$B$3^2*$B$4))+(2.51*J17))*2.302)))</f>
        <v>0.31831498391366164</v>
      </c>
      <c r="O17" s="34">
        <f>J17-N17</f>
        <v>6.51251526468498</v>
      </c>
      <c r="P17" s="36">
        <f>IF(AND(O17&gt;=-0.0001,O17&lt;0),1/N17^2,0)</f>
        <v>0</v>
      </c>
      <c r="Q17" s="35">
        <f>IF(AND(P17=0,M17&lt;&gt;0),LOG(((0.27*$B$5)/($B$3))+((2.51*3.14*$B$3*$B$4*N17)/(4*$B17))),0)</f>
        <v>0</v>
      </c>
      <c r="R17" s="34">
        <f>IF(P17=0,N17-((N17+2*Q17)/(1+(5.02)/((((0.27*4*$B$5*$B17)/(3.14*$B$3^2*$B$4))+(2.51*N17))*2.302))),0)</f>
        <v>0.02279631978231017</v>
      </c>
      <c r="S17" s="34">
        <f>N17-R17</f>
        <v>0.29551866413135147</v>
      </c>
      <c r="T17" s="36">
        <f>IF(AND(S17&gt;=-0.0001,S17&lt;0),1/R17^2,0)</f>
        <v>0</v>
      </c>
      <c r="U17" s="35">
        <f>IF(AND(T17=0,Q17&lt;&gt;0),LOG(((0.27*$B$5)/($B$3))+((2.51*3.14*$B$3*$B$4*R17)/(4*$B17))),0)</f>
        <v>0</v>
      </c>
      <c r="V17" s="34">
        <f>R17-((R17+2*U17)/(1+(5.02)/((((0.27*4*$B$5*$B17)/(3.14*$B$3^2*$B$4))+(2.51*R17))*2.302)))</f>
        <v>0.001673333735107474</v>
      </c>
      <c r="W17" s="34">
        <f>R17-V17</f>
        <v>0.021122986047202696</v>
      </c>
      <c r="X17" s="36">
        <f>IF(AND(W17&gt;=-0.0001,W17&lt;0),1/V17^2,0)</f>
        <v>0</v>
      </c>
      <c r="Y17" s="35">
        <f>IF(AND(X17=0,U17&lt;&gt;0),LOG(((0.27*$B$5)/($B$3))+((2.51*3.14*$B$3*$B$4*V17)/(4*$B17))),0)</f>
        <v>0</v>
      </c>
      <c r="Z17" s="34">
        <f>V17-((V17+2*Y17)/(1+(5.02)/((((0.27*4*$B$5*$B17)/(3.14*$B$3^2*$B$4))+(2.51*V17))*2.302)))</f>
        <v>0.00012304844810572067</v>
      </c>
      <c r="AA17" s="34">
        <f>V17-Z17</f>
        <v>0.0015502852870017533</v>
      </c>
      <c r="AB17" s="36">
        <f>IF(AND(AA17&gt;=-0.0001,AA17&lt;0),1/Z17^2,0)</f>
        <v>0</v>
      </c>
      <c r="AC17" s="35">
        <f>IF(AND(AB17=0,Y17&lt;&gt;0),LOG(((0.27*$B$5)/($B$3))+((2.51*3.14*$B$3*$B$4*Z17)/(4*$B17))),0)</f>
        <v>0</v>
      </c>
      <c r="AD17" s="34">
        <f>Z17-((Z17+2*AC17)/(1+(5.02)/((((0.27*4*$B$5*$B17)/(3.14*$B$3^2*$B$4))+(2.51*Z17))*2.302)))</f>
        <v>9.049544168376322E-06</v>
      </c>
      <c r="AE17" s="34">
        <f>Z17-AD17</f>
        <v>0.00011399890393734434</v>
      </c>
      <c r="AF17" s="36">
        <f>IF(AND(AE17&gt;=-0.0001,AE17&lt;0),1/AD17^2,0)</f>
        <v>0</v>
      </c>
    </row>
    <row r="18" spans="1:32" ht="12.75">
      <c r="A18" s="34">
        <v>10</v>
      </c>
      <c r="B18" s="35">
        <f>D29/1000</f>
        <v>0.0038888888888888888</v>
      </c>
      <c r="C18" s="35">
        <f t="shared" si="1"/>
        <v>119227.66958493946</v>
      </c>
      <c r="D18" s="36">
        <f t="shared" si="2"/>
        <v>0</v>
      </c>
      <c r="E18" s="35">
        <f t="shared" si="3"/>
        <v>-3.414076794480109</v>
      </c>
      <c r="F18" s="34">
        <f t="shared" si="4"/>
        <v>6.8391108416596165</v>
      </c>
      <c r="G18" s="34">
        <f t="shared" si="5"/>
        <v>0.23088915834038382</v>
      </c>
      <c r="H18" s="36">
        <f>IF(AND(G18&gt;=-0.0001,G18&lt;=0.0001),1/F18^2,0)</f>
        <v>0</v>
      </c>
      <c r="I18" s="35">
        <f>IF(AND(H18=0,E18&lt;&gt;0),LOG(((0.27*$B$5)/($B$3))+((2.51*3.14*$B$3*$B$4*F18)/(4*$B18))),0)</f>
        <v>-3.4195888607547973</v>
      </c>
      <c r="J18" s="34">
        <f>F18-((F18+2*I18)/(1+(5.02)/((((0.27*4*$B$5*$B18)/(3.14*$B$3^2*$B$4))+(2.51*F18))*2.302)))</f>
        <v>6.839174654478811</v>
      </c>
      <c r="K18" s="34">
        <f>F18-J18</f>
        <v>-6.381281919409787E-05</v>
      </c>
      <c r="L18" s="36">
        <f>IF(AND(K18&gt;=-0.0001,K18&lt;0),1/J18^2,0)</f>
        <v>0.02137925713866216</v>
      </c>
      <c r="M18" s="35">
        <f>IF(AND(L18=0,I18&lt;&gt;0),LOG(((0.27*$B$5)/($B$3))+((2.51*3.14*$B$3*$B$4*J18)/(4*$B18))),0)</f>
        <v>0</v>
      </c>
      <c r="N18" s="34">
        <f>J18-((J18+2*M18)/(1+(5.02)/((((0.27*4*$B$5*$B18)/(3.14*$B$3^2*$B$4))+(2.51*J18))*2.302)))</f>
        <v>0.3136354007528803</v>
      </c>
      <c r="O18" s="34">
        <f>J18-N18</f>
        <v>6.52553925372593</v>
      </c>
      <c r="P18" s="36">
        <f>IF(AND(O18&gt;=-0.0001,O18&lt;0),1/N18^2,0)</f>
        <v>0</v>
      </c>
      <c r="Q18" s="35">
        <f>IF(AND(P18=0,M18&lt;&gt;0),LOG(((0.27*$B$5)/($B$3))+((2.51*3.14*$B$3*$B$4*N18)/(4*$B18))),0)</f>
        <v>0</v>
      </c>
      <c r="R18" s="34">
        <f>IF(P18=0,N18-((N18+2*Q18)/(1+(5.02)/((((0.27*4*$B$5*$B18)/(3.14*$B$3^2*$B$4))+(2.51*N18))*2.302))),0)</f>
        <v>0.021939855650930984</v>
      </c>
      <c r="S18" s="34">
        <f>N18-R18</f>
        <v>0.29169554510194934</v>
      </c>
      <c r="T18" s="36">
        <f>IF(AND(S18&gt;=-0.0001,S18&lt;0),1/R18^2,0)</f>
        <v>0</v>
      </c>
      <c r="U18" s="35">
        <f>IF(AND(T18=0,Q18&lt;&gt;0),LOG(((0.27*$B$5)/($B$3))+((2.51*3.14*$B$3*$B$4*R18)/(4*$B18))),0)</f>
        <v>0</v>
      </c>
      <c r="V18" s="34">
        <f>R18-((R18+2*U18)/(1+(5.02)/((((0.27*4*$B$5*$B18)/(3.14*$B$3^2*$B$4))+(2.51*R18))*2.302)))</f>
        <v>0.0015716798869599147</v>
      </c>
      <c r="W18" s="34">
        <f>R18-V18</f>
        <v>0.02036817576397107</v>
      </c>
      <c r="X18" s="36">
        <f>IF(AND(W18&gt;=-0.0001,W18&lt;0),1/V18^2,0)</f>
        <v>0</v>
      </c>
      <c r="Y18" s="35">
        <f>IF(AND(X18=0,U18&lt;&gt;0),LOG(((0.27*$B$5)/($B$3))+((2.51*3.14*$B$3*$B$4*V18)/(4*$B18))),0)</f>
        <v>0</v>
      </c>
      <c r="Z18" s="34">
        <f>V18-((V18+2*Y18)/(1+(5.02)/((((0.27*4*$B$5*$B18)/(3.14*$B$3^2*$B$4))+(2.51*V18))*2.302)))</f>
        <v>0.00011277800256560746</v>
      </c>
      <c r="AA18" s="34">
        <f>V18-Z18</f>
        <v>0.0014589018843943072</v>
      </c>
      <c r="AB18" s="36">
        <f>IF(AND(AA18&gt;=-0.0001,AA18&lt;0),1/Z18^2,0)</f>
        <v>0</v>
      </c>
      <c r="AC18" s="35">
        <f>IF(AND(AB18=0,Y18&lt;&gt;0),LOG(((0.27*$B$5)/($B$3))+((2.51*3.14*$B$3*$B$4*Z18)/(4*$B18))),0)</f>
        <v>0</v>
      </c>
      <c r="AD18" s="34">
        <f>Z18-((Z18+2*AC18)/(1+(5.02)/((((0.27*4*$B$5*$B18)/(3.14*$B$3^2*$B$4))+(2.51*Z18))*2.302)))</f>
        <v>8.093512354702683E-06</v>
      </c>
      <c r="AE18" s="34">
        <f>Z18-AD18</f>
        <v>0.00010468449021090478</v>
      </c>
      <c r="AF18" s="36">
        <f>IF(AND(AE18&gt;=-0.0001,AE18&lt;0),1/AD18^2,0)</f>
        <v>0</v>
      </c>
    </row>
    <row r="19" spans="1:4" ht="12.75">
      <c r="A19" s="30" t="s">
        <v>95</v>
      </c>
      <c r="B19" s="27" t="s">
        <v>124</v>
      </c>
      <c r="D19" s="5" t="s">
        <v>125</v>
      </c>
    </row>
    <row r="20" spans="1:4" ht="12.75">
      <c r="A20" s="27">
        <v>1</v>
      </c>
      <c r="B20" s="28">
        <f aca="true" t="shared" si="31" ref="B20:B27">SUMIF(D$7:AF$7,"F",D9:AF9)</f>
        <v>0.023105000867336634</v>
      </c>
      <c r="D20" s="5">
        <f>Gabarito!B55/3.6</f>
        <v>1.9444444444444444</v>
      </c>
    </row>
    <row r="21" spans="1:4" ht="12.75">
      <c r="A21" s="27">
        <v>2</v>
      </c>
      <c r="B21" s="28">
        <f t="shared" si="31"/>
        <v>0.022222663499813746</v>
      </c>
      <c r="D21" s="5">
        <f>Gabarito!B56/3.6</f>
        <v>2.6666666666666665</v>
      </c>
    </row>
    <row r="22" spans="1:4" ht="12.75">
      <c r="A22" s="27">
        <v>3</v>
      </c>
      <c r="B22" s="28">
        <f t="shared" si="31"/>
        <v>0.022002735665338183</v>
      </c>
      <c r="D22" s="5">
        <f>Gabarito!B57/3.6</f>
        <v>2.9166666666666665</v>
      </c>
    </row>
    <row r="23" spans="1:4" ht="12.75">
      <c r="A23" s="27">
        <v>4</v>
      </c>
      <c r="B23" s="28">
        <f t="shared" si="31"/>
        <v>0.021893550119893752</v>
      </c>
      <c r="D23" s="5">
        <f>Gabarito!B58/3.6</f>
        <v>3.0555555555555554</v>
      </c>
    </row>
    <row r="24" spans="1:4" ht="12.75">
      <c r="A24" s="27">
        <v>5</v>
      </c>
      <c r="B24" s="28">
        <f t="shared" si="31"/>
        <v>0.021792321610931115</v>
      </c>
      <c r="D24" s="5">
        <f>Gabarito!B59/3.6</f>
        <v>3.194444444444444</v>
      </c>
    </row>
    <row r="25" spans="1:4" ht="12.75">
      <c r="A25" s="27">
        <v>6</v>
      </c>
      <c r="B25" s="28">
        <f t="shared" si="31"/>
        <v>0.021698188949852086</v>
      </c>
      <c r="D25" s="5">
        <f>Gabarito!B60/3.6</f>
        <v>3.333333333333333</v>
      </c>
    </row>
    <row r="26" spans="1:4" ht="12.75">
      <c r="A26" s="27">
        <v>7</v>
      </c>
      <c r="B26" s="28">
        <f t="shared" si="31"/>
        <v>0.02161041329755263</v>
      </c>
      <c r="D26" s="5">
        <f>Gabarito!B61/3.6</f>
        <v>3.4722222222222223</v>
      </c>
    </row>
    <row r="27" spans="1:4" ht="12.75">
      <c r="A27" s="27">
        <v>8</v>
      </c>
      <c r="B27" s="28">
        <f t="shared" si="31"/>
        <v>0.02156053026415641</v>
      </c>
      <c r="D27" s="5">
        <f>Gabarito!B62/3.6</f>
        <v>3.555555555555556</v>
      </c>
    </row>
    <row r="28" spans="1:4" ht="12.75">
      <c r="A28" s="34">
        <v>9</v>
      </c>
      <c r="B28" s="34">
        <f>SUMIF(D$7:AF$7,"F",D17:AF17)</f>
        <v>0.02143152198955543</v>
      </c>
      <c r="C28" s="37"/>
      <c r="D28" s="38">
        <f>Gabarito!H90/3.6</f>
        <v>3.787509003822432</v>
      </c>
    </row>
    <row r="29" spans="1:4" ht="12.75">
      <c r="A29" s="30">
        <v>10</v>
      </c>
      <c r="B29" s="36">
        <f>SUMIF(D$7:AF$7,"F",D18:AF18)</f>
        <v>0.02137925713866216</v>
      </c>
      <c r="D29" s="40">
        <f>Gabarito!B93/3.6</f>
        <v>3.888888888888889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A1">
      <selection activeCell="E32" sqref="E32"/>
    </sheetView>
  </sheetViews>
  <sheetFormatPr defaultColWidth="9.140625" defaultRowHeight="12.75"/>
  <cols>
    <col min="5" max="5" width="12.00390625" style="0" customWidth="1"/>
    <col min="9" max="9" width="10.57421875" style="0" customWidth="1"/>
    <col min="13" max="13" width="9.57421875" style="0" customWidth="1"/>
  </cols>
  <sheetData>
    <row r="1" spans="1:9" ht="12.75">
      <c r="A1" s="46" t="s">
        <v>85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3" ht="12.75">
      <c r="A3" s="21" t="s">
        <v>86</v>
      </c>
      <c r="B3" s="22">
        <f>Gabarito!B11/1000</f>
        <v>0.040799999999999996</v>
      </c>
      <c r="C3" s="23" t="s">
        <v>34</v>
      </c>
    </row>
    <row r="4" spans="1:3" ht="12.75" customHeight="1">
      <c r="A4" s="24" t="s">
        <v>87</v>
      </c>
      <c r="B4" s="25">
        <f>Gabarito!J5/Gabarito!J3</f>
        <v>7.914427760759303E-07</v>
      </c>
      <c r="C4" s="23" t="s">
        <v>88</v>
      </c>
    </row>
    <row r="5" spans="1:3" ht="12.75" customHeight="1">
      <c r="A5" s="26" t="s">
        <v>89</v>
      </c>
      <c r="B5" s="25">
        <v>4.6E-05</v>
      </c>
      <c r="C5" s="23" t="s">
        <v>34</v>
      </c>
    </row>
    <row r="6" spans="1:3" ht="12.75" customHeight="1">
      <c r="A6" s="27" t="s">
        <v>90</v>
      </c>
      <c r="B6" s="28">
        <v>7.07</v>
      </c>
      <c r="C6" s="23" t="s">
        <v>91</v>
      </c>
    </row>
    <row r="7" spans="4:32" s="29" customFormat="1" ht="12.75">
      <c r="D7" s="29" t="s">
        <v>92</v>
      </c>
      <c r="H7" s="29" t="s">
        <v>92</v>
      </c>
      <c r="L7" s="29" t="s">
        <v>92</v>
      </c>
      <c r="P7" s="29" t="s">
        <v>92</v>
      </c>
      <c r="T7" s="29" t="s">
        <v>92</v>
      </c>
      <c r="X7" s="29" t="s">
        <v>92</v>
      </c>
      <c r="AB7" s="29" t="s">
        <v>92</v>
      </c>
      <c r="AF7" s="29" t="s">
        <v>92</v>
      </c>
    </row>
    <row r="8" spans="1:32" ht="12.75">
      <c r="A8" s="27" t="s">
        <v>93</v>
      </c>
      <c r="B8" s="27" t="s">
        <v>46</v>
      </c>
      <c r="C8" s="27" t="s">
        <v>94</v>
      </c>
      <c r="D8" s="30" t="s">
        <v>95</v>
      </c>
      <c r="E8" s="27" t="s">
        <v>96</v>
      </c>
      <c r="F8" s="27" t="s">
        <v>97</v>
      </c>
      <c r="G8" s="27" t="s">
        <v>98</v>
      </c>
      <c r="H8" s="30" t="s">
        <v>99</v>
      </c>
      <c r="I8" s="27" t="s">
        <v>100</v>
      </c>
      <c r="J8" s="27" t="s">
        <v>101</v>
      </c>
      <c r="K8" s="27" t="s">
        <v>102</v>
      </c>
      <c r="L8" s="30" t="s">
        <v>103</v>
      </c>
      <c r="M8" s="27" t="s">
        <v>104</v>
      </c>
      <c r="N8" s="27" t="s">
        <v>105</v>
      </c>
      <c r="O8" s="27" t="s">
        <v>106</v>
      </c>
      <c r="P8" s="30" t="s">
        <v>107</v>
      </c>
      <c r="Q8" s="27" t="s">
        <v>108</v>
      </c>
      <c r="R8" s="27" t="s">
        <v>109</v>
      </c>
      <c r="S8" s="27" t="s">
        <v>110</v>
      </c>
      <c r="T8" s="30" t="s">
        <v>111</v>
      </c>
      <c r="U8" s="27" t="s">
        <v>112</v>
      </c>
      <c r="V8" s="27" t="s">
        <v>113</v>
      </c>
      <c r="W8" s="27" t="s">
        <v>114</v>
      </c>
      <c r="X8" s="30" t="s">
        <v>115</v>
      </c>
      <c r="Y8" s="27" t="s">
        <v>116</v>
      </c>
      <c r="Z8" s="27" t="s">
        <v>117</v>
      </c>
      <c r="AA8" s="27" t="s">
        <v>118</v>
      </c>
      <c r="AB8" s="30" t="s">
        <v>119</v>
      </c>
      <c r="AC8" s="27" t="s">
        <v>120</v>
      </c>
      <c r="AD8" s="27" t="s">
        <v>121</v>
      </c>
      <c r="AE8" s="27" t="s">
        <v>122</v>
      </c>
      <c r="AF8" s="30" t="s">
        <v>123</v>
      </c>
    </row>
    <row r="9" spans="1:32" ht="12.75">
      <c r="A9" s="27">
        <v>1</v>
      </c>
      <c r="B9" s="25">
        <f>D19/1000</f>
        <v>0.0019444444444444444</v>
      </c>
      <c r="C9" s="25">
        <f>(4*B9)/(3.14*$B$3*$B$4)</f>
        <v>76708.9785932515</v>
      </c>
      <c r="D9" s="31">
        <f>IF(C9&lt;=2000,64/C9,0)</f>
        <v>0</v>
      </c>
      <c r="E9" s="25">
        <f>IF($C9&gt;=2000,LOG(((0.27*$B$5)/($B$3))+((2.51*3.14*$B$3*$B$4*$B$6)/(4*$B9))),0)</f>
        <v>-3.271038028879589</v>
      </c>
      <c r="F9" s="28">
        <f>$B$6-(($B$6+2*$E9)/(1+(5.02)/((((0.27*4*$B$5*$B9)/(3.14*$B$3^2*$B$4))+(2.51*$B$6))*2.302)))</f>
        <v>6.568677630304082</v>
      </c>
      <c r="G9" s="28">
        <f>($B$6-F9)</f>
        <v>0.5013223696959184</v>
      </c>
      <c r="H9" s="32">
        <f>IF(AND(G9&gt;=-0.0001,G9&lt;=0.0001),1/F9^2,0)</f>
        <v>0</v>
      </c>
      <c r="I9" s="25">
        <f>IF(AND(H9=0,E9&lt;&gt;0),LOG(((0.27*$B$5)/($B$3))+((2.51*3.14*$B$3*$B$4*F9)/(4*$B9))),0)</f>
        <v>-3.2845432613131282</v>
      </c>
      <c r="J9" s="28">
        <f>F9-((F9+2*I9)/(1+(5.02)/((((0.27*4*$B$5*$B9)/(3.14*$B$3^2*$B$4))+(2.51*F9))*2.302)))</f>
        <v>6.569065301937146</v>
      </c>
      <c r="K9" s="28">
        <f>F9-J9</f>
        <v>-0.0003876716330637464</v>
      </c>
      <c r="L9" s="32">
        <f>IF(AND(K9&gt;=-0.0001,K9&lt;0),1/J9^2,0)</f>
        <v>0</v>
      </c>
      <c r="M9" s="25">
        <f>IF(AND(L9=0,I9&lt;&gt;0),LOG(((0.27*$B$5)/($B$3))+((2.51*3.14*$B$3*$B$4*J9)/(4*$B9))),0)</f>
        <v>-3.284532653794233</v>
      </c>
      <c r="N9" s="28">
        <f>J9-((J9+2*M9)/(1+(5.02)/((((0.27*4*$B$5*$B9)/(3.14*$B$3^2*$B$4))+(2.51*J9))*2.302)))</f>
        <v>6.569065307295181</v>
      </c>
      <c r="O9" s="28">
        <f>J9-N9</f>
        <v>-5.358034904645592E-09</v>
      </c>
      <c r="P9" s="32">
        <f>IF(AND(O9&gt;=-0.0001,O9&lt;0),1/N9^2,0)</f>
        <v>0.023173564499834706</v>
      </c>
      <c r="Q9" s="25">
        <f>IF(AND(P9=0,M9&lt;&gt;0),LOG(((0.27*$B$5)/($B$3))+((2.51*3.14*$B$3*$B$4*N9)/(4*$B9))),0)</f>
        <v>0</v>
      </c>
      <c r="R9" s="28">
        <f>IF(P9=0,N9-((N9+2*Q9)/(1+(5.02)/((((0.27*4*$B$5*$B9)/(3.14*$B$3^2*$B$4))+(2.51*N9))*2.302))),0)</f>
        <v>0</v>
      </c>
      <c r="S9" s="28">
        <f>N9-R9</f>
        <v>6.569065307295181</v>
      </c>
      <c r="T9" s="32">
        <f>IF(AND(S9&gt;=-0.0001,S9&lt;0),1/R9^2,0)</f>
        <v>0</v>
      </c>
      <c r="U9" s="25">
        <f>IF(AND(T9=0,Q9&lt;&gt;0),LOG(((0.27*$B$5)/($B$3))+((2.51*3.14*$B$3*$B$4*R9)/(4*$B9))),0)</f>
        <v>0</v>
      </c>
      <c r="V9" s="28">
        <f>R9-((R9+2*U9)/(1+(5.02)/((((0.27*4*$B$5*$B9)/(3.14*$B$3^2*$B$4))+(2.51*R9))*2.302)))</f>
        <v>0</v>
      </c>
      <c r="W9" s="28">
        <f>R9-V9</f>
        <v>0</v>
      </c>
      <c r="X9" s="32">
        <f>IF(AND(W9&gt;=-0.0001,W9&lt;0),1/V9^2,0)</f>
        <v>0</v>
      </c>
      <c r="Y9" s="25">
        <f>IF(AND(X9=0,U9&lt;&gt;0),LOG(((0.27*$B$5)/($B$3))+((2.51*3.14*$B$3*$B$4*V9)/(4*$B9))),0)</f>
        <v>0</v>
      </c>
      <c r="Z9" s="28">
        <f>V9-((V9+2*Y9)/(1+(5.02)/((((0.27*4*$B$5*$B9)/(3.14*$B$3^2*$B$4))+(2.51*V9))*2.302)))</f>
        <v>0</v>
      </c>
      <c r="AA9" s="28">
        <f>V9-Z9</f>
        <v>0</v>
      </c>
      <c r="AB9" s="32">
        <f>IF(AND(AA9&gt;=-0.0001,AA9&lt;0),1/Z9^2,0)</f>
        <v>0</v>
      </c>
      <c r="AC9" s="25">
        <f>IF(AND(AB9=0,Y9&lt;&gt;0),LOG(((0.27*$B$5)/($B$3))+((2.51*3.14*$B$3*$B$4*Z9)/(4*$B9))),0)</f>
        <v>0</v>
      </c>
      <c r="AD9" s="28">
        <f>Z9-((Z9+2*AC9)/(1+(5.02)/((((0.27*4*$B$5*$B9)/(3.14*$B$3^2*$B$4))+(2.51*Z9))*2.302)))</f>
        <v>0</v>
      </c>
      <c r="AE9" s="28">
        <f>Z9-AD9</f>
        <v>0</v>
      </c>
      <c r="AF9" s="32">
        <f>IF(AND(AE9&gt;=-0.0001,AE9&lt;0),1/AD9^2,0)</f>
        <v>0</v>
      </c>
    </row>
    <row r="10" spans="1:32" ht="12.75">
      <c r="A10" s="27">
        <v>2</v>
      </c>
      <c r="B10" s="25">
        <f aca="true" t="shared" si="0" ref="B10:B16">D20/1000</f>
        <v>0.0026666666666666666</v>
      </c>
      <c r="C10" s="25">
        <f aca="true" t="shared" si="1" ref="C10:C17">(4*B10)/(3.14*$B$3*$B$4)</f>
        <v>105200.88492788776</v>
      </c>
      <c r="D10" s="31">
        <f aca="true" t="shared" si="2" ref="D10:D17">IF(C10&lt;=2000,64/C10,0)</f>
        <v>0</v>
      </c>
      <c r="E10" s="25">
        <f aca="true" t="shared" si="3" ref="E10:E17">IF($C10&gt;=2000,LOG(((0.27*$B$5)/($B$3))+((2.51*3.14*$B$3*$B$4*$B$6)/(4*$B10))),0)</f>
        <v>-3.32505099286213</v>
      </c>
      <c r="F10" s="28">
        <f aca="true" t="shared" si="4" ref="F10:F17">$B$6-(($B$6+2*$E10)/(1+(5.02)/((((0.27*4*$B$5*$B10)/(3.14*$B$3^2*$B$4))+(2.51*$B$6))*2.302)))</f>
        <v>6.667727832220711</v>
      </c>
      <c r="G10" s="28">
        <f aca="true" t="shared" si="5" ref="G10:G17">($B$6-F10)</f>
        <v>0.4022721677792891</v>
      </c>
      <c r="H10" s="32">
        <f aca="true" t="shared" si="6" ref="H10:H16">IF(AND(G10&gt;=-0.0001,G10&lt;=0.0001),1/F10^2,0)</f>
        <v>0</v>
      </c>
      <c r="I10" s="25">
        <f aca="true" t="shared" si="7" ref="I10:I16">IF(AND(H10=0,E10&lt;&gt;0),LOG(((0.27*$B$5)/($B$3))+((2.51*3.14*$B$3*$B$4*F10)/(4*$B10))),0)</f>
        <v>-3.333952276886156</v>
      </c>
      <c r="J10" s="28">
        <f aca="true" t="shared" si="8" ref="J10:J16">F10-((F10+2*I10)/(1+(5.02)/((((0.27*4*$B$5*$B10)/(3.14*$B$3^2*$B$4))+(2.51*F10))*2.302)))</f>
        <v>6.667896988586027</v>
      </c>
      <c r="K10" s="28">
        <f aca="true" t="shared" si="9" ref="K10:K16">F10-J10</f>
        <v>-0.0001691563653158923</v>
      </c>
      <c r="L10" s="32">
        <f aca="true" t="shared" si="10" ref="L10:L16">IF(AND(K10&gt;=-0.0001,K10&lt;0),1/J10^2,0)</f>
        <v>0</v>
      </c>
      <c r="M10" s="25">
        <f aca="true" t="shared" si="11" ref="M10:M16">IF(AND(L10=0,I10&lt;&gt;0),LOG(((0.27*$B$5)/($B$3))+((2.51*3.14*$B$3*$B$4*J10)/(4*$B10))),0)</f>
        <v>-3.333948495270645</v>
      </c>
      <c r="N10" s="28">
        <f aca="true" t="shared" si="12" ref="N10:N16">J10-((J10+2*M10)/(1+(5.02)/((((0.27*4*$B$5*$B10)/(3.14*$B$3^2*$B$4))+(2.51*J10))*2.302)))</f>
        <v>6.667896990457589</v>
      </c>
      <c r="O10" s="28">
        <f aca="true" t="shared" si="13" ref="O10:O16">J10-N10</f>
        <v>-1.8715615723863266E-09</v>
      </c>
      <c r="P10" s="32">
        <f aca="true" t="shared" si="14" ref="P10:P16">IF(AND(O10&gt;=-0.0001,O10&lt;0),1/N10^2,0)</f>
        <v>0.02249169761277248</v>
      </c>
      <c r="Q10" s="25">
        <f aca="true" t="shared" si="15" ref="Q10:Q16">IF(AND(P10=0,M10&lt;&gt;0),LOG(((0.27*$B$5)/($B$3))+((2.51*3.14*$B$3*$B$4*N10)/(4*$B10))),0)</f>
        <v>0</v>
      </c>
      <c r="R10" s="28">
        <f aca="true" t="shared" si="16" ref="R10:R16">IF(P10=0,N10-((N10+2*Q10)/(1+(5.02)/((((0.27*4*$B$5*$B10)/(3.14*$B$3^2*$B$4))+(2.51*N10))*2.302))),0)</f>
        <v>0</v>
      </c>
      <c r="S10" s="28">
        <f aca="true" t="shared" si="17" ref="S10:S16">N10-R10</f>
        <v>6.667896990457589</v>
      </c>
      <c r="T10" s="32">
        <f aca="true" t="shared" si="18" ref="T10:T16">IF(AND(S10&gt;=-0.0001,S10&lt;0),1/R10^2,0)</f>
        <v>0</v>
      </c>
      <c r="U10" s="25">
        <f aca="true" t="shared" si="19" ref="U10:U16">IF(AND(T10=0,Q10&lt;&gt;0),LOG(((0.27*$B$5)/($B$3))+((2.51*3.14*$B$3*$B$4*R10)/(4*$B10))),0)</f>
        <v>0</v>
      </c>
      <c r="V10" s="28">
        <f aca="true" t="shared" si="20" ref="V10:V16">R10-((R10+2*U10)/(1+(5.02)/((((0.27*4*$B$5*$B10)/(3.14*$B$3^2*$B$4))+(2.51*R10))*2.302)))</f>
        <v>0</v>
      </c>
      <c r="W10" s="28">
        <f aca="true" t="shared" si="21" ref="W10:W16">R10-V10</f>
        <v>0</v>
      </c>
      <c r="X10" s="32">
        <f aca="true" t="shared" si="22" ref="X10:X16">IF(AND(W10&gt;=-0.0001,W10&lt;0),1/V10^2,0)</f>
        <v>0</v>
      </c>
      <c r="Y10" s="25">
        <f aca="true" t="shared" si="23" ref="Y10:Y16">IF(AND(X10=0,U10&lt;&gt;0),LOG(((0.27*$B$5)/($B$3))+((2.51*3.14*$B$3*$B$4*V10)/(4*$B10))),0)</f>
        <v>0</v>
      </c>
      <c r="Z10" s="28">
        <f aca="true" t="shared" si="24" ref="Z10:Z16">V10-((V10+2*Y10)/(1+(5.02)/((((0.27*4*$B$5*$B10)/(3.14*$B$3^2*$B$4))+(2.51*V10))*2.302)))</f>
        <v>0</v>
      </c>
      <c r="AA10" s="28">
        <f aca="true" t="shared" si="25" ref="AA10:AA16">V10-Z10</f>
        <v>0</v>
      </c>
      <c r="AB10" s="32">
        <f aca="true" t="shared" si="26" ref="AB10:AB16">IF(AND(AA10&gt;=-0.0001,AA10&lt;0),1/Z10^2,0)</f>
        <v>0</v>
      </c>
      <c r="AC10" s="25">
        <f aca="true" t="shared" si="27" ref="AC10:AC16">IF(AND(AB10=0,Y10&lt;&gt;0),LOG(((0.27*$B$5)/($B$3))+((2.51*3.14*$B$3*$B$4*Z10)/(4*$B10))),0)</f>
        <v>0</v>
      </c>
      <c r="AD10" s="28">
        <f aca="true" t="shared" si="28" ref="AD10:AD16">Z10-((Z10+2*AC10)/(1+(5.02)/((((0.27*4*$B$5*$B10)/(3.14*$B$3^2*$B$4))+(2.51*Z10))*2.302)))</f>
        <v>0</v>
      </c>
      <c r="AE10" s="28">
        <f aca="true" t="shared" si="29" ref="AE10:AE16">Z10-AD10</f>
        <v>0</v>
      </c>
      <c r="AF10" s="32">
        <f aca="true" t="shared" si="30" ref="AF10:AF16">IF(AND(AE10&gt;=-0.0001,AE10&lt;0),1/AD10^2,0)</f>
        <v>0</v>
      </c>
    </row>
    <row r="11" spans="1:32" ht="12.75">
      <c r="A11" s="27">
        <v>3</v>
      </c>
      <c r="B11" s="25">
        <f t="shared" si="0"/>
        <v>0.0029166666666666664</v>
      </c>
      <c r="C11" s="25">
        <f t="shared" si="1"/>
        <v>115063.46788987723</v>
      </c>
      <c r="D11" s="31">
        <f t="shared" si="2"/>
        <v>0</v>
      </c>
      <c r="E11" s="25">
        <f t="shared" si="3"/>
        <v>-3.338530833067433</v>
      </c>
      <c r="F11" s="28">
        <f t="shared" si="4"/>
        <v>6.692654703268582</v>
      </c>
      <c r="G11" s="28">
        <f t="shared" si="5"/>
        <v>0.37734529673141814</v>
      </c>
      <c r="H11" s="32">
        <f t="shared" si="6"/>
        <v>0</v>
      </c>
      <c r="I11" s="25">
        <f t="shared" si="7"/>
        <v>-3.3463961654270973</v>
      </c>
      <c r="J11" s="28">
        <f t="shared" si="8"/>
        <v>6.692786773574096</v>
      </c>
      <c r="K11" s="28">
        <f t="shared" si="9"/>
        <v>-0.00013207030551409815</v>
      </c>
      <c r="L11" s="32">
        <f t="shared" si="10"/>
        <v>0</v>
      </c>
      <c r="M11" s="25">
        <f t="shared" si="11"/>
        <v>-3.3463933875019922</v>
      </c>
      <c r="N11" s="28">
        <f t="shared" si="12"/>
        <v>6.6927867749462475</v>
      </c>
      <c r="O11" s="28">
        <f t="shared" si="13"/>
        <v>-1.372151281486822E-09</v>
      </c>
      <c r="P11" s="32">
        <f t="shared" si="14"/>
        <v>0.022324720064920475</v>
      </c>
      <c r="Q11" s="25">
        <f t="shared" si="15"/>
        <v>0</v>
      </c>
      <c r="R11" s="28">
        <f t="shared" si="16"/>
        <v>0</v>
      </c>
      <c r="S11" s="28">
        <f t="shared" si="17"/>
        <v>6.6927867749462475</v>
      </c>
      <c r="T11" s="32">
        <f t="shared" si="18"/>
        <v>0</v>
      </c>
      <c r="U11" s="25">
        <f t="shared" si="19"/>
        <v>0</v>
      </c>
      <c r="V11" s="28">
        <f t="shared" si="20"/>
        <v>0</v>
      </c>
      <c r="W11" s="28">
        <f t="shared" si="21"/>
        <v>0</v>
      </c>
      <c r="X11" s="32">
        <f t="shared" si="22"/>
        <v>0</v>
      </c>
      <c r="Y11" s="25">
        <f t="shared" si="23"/>
        <v>0</v>
      </c>
      <c r="Z11" s="28">
        <f t="shared" si="24"/>
        <v>0</v>
      </c>
      <c r="AA11" s="28">
        <f t="shared" si="25"/>
        <v>0</v>
      </c>
      <c r="AB11" s="32">
        <f t="shared" si="26"/>
        <v>0</v>
      </c>
      <c r="AC11" s="25">
        <f t="shared" si="27"/>
        <v>0</v>
      </c>
      <c r="AD11" s="28">
        <f t="shared" si="28"/>
        <v>0</v>
      </c>
      <c r="AE11" s="28">
        <f t="shared" si="29"/>
        <v>0</v>
      </c>
      <c r="AF11" s="32">
        <f t="shared" si="30"/>
        <v>0</v>
      </c>
    </row>
    <row r="12" spans="1:32" ht="12.75">
      <c r="A12" s="27">
        <v>4</v>
      </c>
      <c r="B12" s="25">
        <f t="shared" si="0"/>
        <v>0.0030555555555555553</v>
      </c>
      <c r="C12" s="25">
        <f t="shared" si="1"/>
        <v>120542.68064653805</v>
      </c>
      <c r="D12" s="31">
        <f t="shared" si="2"/>
        <v>0</v>
      </c>
      <c r="E12" s="25">
        <f t="shared" si="3"/>
        <v>-3.345220254499737</v>
      </c>
      <c r="F12" s="28">
        <f t="shared" si="4"/>
        <v>6.705058932691101</v>
      </c>
      <c r="G12" s="28">
        <f t="shared" si="5"/>
        <v>0.36494106730889886</v>
      </c>
      <c r="H12" s="32">
        <f t="shared" si="6"/>
        <v>0</v>
      </c>
      <c r="I12" s="25">
        <f t="shared" si="7"/>
        <v>-3.3525897835297553</v>
      </c>
      <c r="J12" s="28">
        <f t="shared" si="8"/>
        <v>6.705174844525282</v>
      </c>
      <c r="K12" s="28">
        <f t="shared" si="9"/>
        <v>-0.00011591183418069306</v>
      </c>
      <c r="L12" s="32">
        <f t="shared" si="10"/>
        <v>0</v>
      </c>
      <c r="M12" s="25">
        <f t="shared" si="11"/>
        <v>-3.3525874228690613</v>
      </c>
      <c r="N12" s="28">
        <f t="shared" si="12"/>
        <v>6.705174845690643</v>
      </c>
      <c r="O12" s="28">
        <f t="shared" si="13"/>
        <v>-1.1653611409201403E-09</v>
      </c>
      <c r="P12" s="32">
        <f t="shared" si="14"/>
        <v>0.02224230469469972</v>
      </c>
      <c r="Q12" s="25">
        <f t="shared" si="15"/>
        <v>0</v>
      </c>
      <c r="R12" s="28">
        <f t="shared" si="16"/>
        <v>0</v>
      </c>
      <c r="S12" s="28">
        <f t="shared" si="17"/>
        <v>6.705174845690643</v>
      </c>
      <c r="T12" s="32">
        <f t="shared" si="18"/>
        <v>0</v>
      </c>
      <c r="U12" s="25">
        <f t="shared" si="19"/>
        <v>0</v>
      </c>
      <c r="V12" s="28">
        <f t="shared" si="20"/>
        <v>0</v>
      </c>
      <c r="W12" s="28">
        <f t="shared" si="21"/>
        <v>0</v>
      </c>
      <c r="X12" s="32">
        <f t="shared" si="22"/>
        <v>0</v>
      </c>
      <c r="Y12" s="25">
        <f t="shared" si="23"/>
        <v>0</v>
      </c>
      <c r="Z12" s="28">
        <f t="shared" si="24"/>
        <v>0</v>
      </c>
      <c r="AA12" s="28">
        <f t="shared" si="25"/>
        <v>0</v>
      </c>
      <c r="AB12" s="32">
        <f t="shared" si="26"/>
        <v>0</v>
      </c>
      <c r="AC12" s="25">
        <f t="shared" si="27"/>
        <v>0</v>
      </c>
      <c r="AD12" s="28">
        <f t="shared" si="28"/>
        <v>0</v>
      </c>
      <c r="AE12" s="28">
        <f t="shared" si="29"/>
        <v>0</v>
      </c>
      <c r="AF12" s="32">
        <f t="shared" si="30"/>
        <v>0</v>
      </c>
    </row>
    <row r="13" spans="1:32" ht="12.75">
      <c r="A13" s="27">
        <v>5</v>
      </c>
      <c r="B13" s="25">
        <f t="shared" si="0"/>
        <v>0.003194444444444444</v>
      </c>
      <c r="C13" s="25">
        <f t="shared" si="1"/>
        <v>126021.89340319888</v>
      </c>
      <c r="D13" s="31">
        <f t="shared" si="2"/>
        <v>0</v>
      </c>
      <c r="E13" s="25">
        <f t="shared" si="3"/>
        <v>-3.351419300457146</v>
      </c>
      <c r="F13" s="28">
        <f t="shared" si="4"/>
        <v>6.716574880186045</v>
      </c>
      <c r="G13" s="28">
        <f t="shared" si="5"/>
        <v>0.35342511981395486</v>
      </c>
      <c r="H13" s="32">
        <f t="shared" si="6"/>
        <v>0</v>
      </c>
      <c r="I13" s="25">
        <f t="shared" si="7"/>
        <v>-3.3583405543022575</v>
      </c>
      <c r="J13" s="28">
        <f t="shared" si="8"/>
        <v>6.716677072957891</v>
      </c>
      <c r="K13" s="28">
        <f t="shared" si="9"/>
        <v>-0.0001021927718456439</v>
      </c>
      <c r="L13" s="32">
        <f t="shared" si="10"/>
        <v>0</v>
      </c>
      <c r="M13" s="25">
        <f t="shared" si="11"/>
        <v>-3.358338536996365</v>
      </c>
      <c r="N13" s="28">
        <f t="shared" si="12"/>
        <v>6.7166770739534165</v>
      </c>
      <c r="O13" s="28">
        <f t="shared" si="13"/>
        <v>-9.955254398619218E-10</v>
      </c>
      <c r="P13" s="32">
        <f t="shared" si="14"/>
        <v>0.022166190567195945</v>
      </c>
      <c r="Q13" s="25">
        <f t="shared" si="15"/>
        <v>0</v>
      </c>
      <c r="R13" s="28">
        <f t="shared" si="16"/>
        <v>0</v>
      </c>
      <c r="S13" s="28">
        <f t="shared" si="17"/>
        <v>6.7166770739534165</v>
      </c>
      <c r="T13" s="32">
        <f t="shared" si="18"/>
        <v>0</v>
      </c>
      <c r="U13" s="25">
        <f t="shared" si="19"/>
        <v>0</v>
      </c>
      <c r="V13" s="28">
        <f t="shared" si="20"/>
        <v>0</v>
      </c>
      <c r="W13" s="28">
        <f t="shared" si="21"/>
        <v>0</v>
      </c>
      <c r="X13" s="32">
        <f t="shared" si="22"/>
        <v>0</v>
      </c>
      <c r="Y13" s="25">
        <f t="shared" si="23"/>
        <v>0</v>
      </c>
      <c r="Z13" s="28">
        <f t="shared" si="24"/>
        <v>0</v>
      </c>
      <c r="AA13" s="28">
        <f t="shared" si="25"/>
        <v>0</v>
      </c>
      <c r="AB13" s="32">
        <f t="shared" si="26"/>
        <v>0</v>
      </c>
      <c r="AC13" s="25">
        <f t="shared" si="27"/>
        <v>0</v>
      </c>
      <c r="AD13" s="28">
        <f t="shared" si="28"/>
        <v>0</v>
      </c>
      <c r="AE13" s="28">
        <f t="shared" si="29"/>
        <v>0</v>
      </c>
      <c r="AF13" s="32">
        <f t="shared" si="30"/>
        <v>0</v>
      </c>
    </row>
    <row r="14" spans="1:32" ht="12.75">
      <c r="A14" s="27">
        <v>6</v>
      </c>
      <c r="B14" s="25">
        <f t="shared" si="0"/>
        <v>0.003333333333333333</v>
      </c>
      <c r="C14" s="25">
        <f t="shared" si="1"/>
        <v>131501.1061598597</v>
      </c>
      <c r="D14" s="31">
        <f t="shared" si="2"/>
        <v>0</v>
      </c>
      <c r="E14" s="25">
        <f t="shared" si="3"/>
        <v>-3.357180553453539</v>
      </c>
      <c r="F14" s="28">
        <f t="shared" si="4"/>
        <v>6.727296168620249</v>
      </c>
      <c r="G14" s="28">
        <f t="shared" si="5"/>
        <v>0.342703831379751</v>
      </c>
      <c r="H14" s="32">
        <f t="shared" si="6"/>
        <v>0</v>
      </c>
      <c r="I14" s="25">
        <f t="shared" si="7"/>
        <v>-3.3636950569293176</v>
      </c>
      <c r="J14" s="28">
        <f t="shared" si="8"/>
        <v>6.727386647209647</v>
      </c>
      <c r="K14" s="28">
        <f t="shared" si="9"/>
        <v>-9.047858939759124E-05</v>
      </c>
      <c r="L14" s="32">
        <f t="shared" si="10"/>
        <v>0.02209567240052599</v>
      </c>
      <c r="M14" s="25">
        <f t="shared" si="11"/>
        <v>0</v>
      </c>
      <c r="N14" s="28">
        <f t="shared" si="12"/>
        <v>0.24824460391412995</v>
      </c>
      <c r="O14" s="28">
        <f t="shared" si="13"/>
        <v>6.479142043295517</v>
      </c>
      <c r="P14" s="32">
        <f t="shared" si="14"/>
        <v>0</v>
      </c>
      <c r="Q14" s="25">
        <f t="shared" si="15"/>
        <v>0</v>
      </c>
      <c r="R14" s="28">
        <f t="shared" si="16"/>
        <v>0.01263824122763571</v>
      </c>
      <c r="S14" s="28">
        <f t="shared" si="17"/>
        <v>0.23560636268649424</v>
      </c>
      <c r="T14" s="32">
        <f t="shared" si="18"/>
        <v>0</v>
      </c>
      <c r="U14" s="25">
        <f t="shared" si="19"/>
        <v>0</v>
      </c>
      <c r="V14" s="28">
        <f t="shared" si="20"/>
        <v>0.0006524257991420233</v>
      </c>
      <c r="W14" s="28">
        <f t="shared" si="21"/>
        <v>0.011985815428493687</v>
      </c>
      <c r="X14" s="32">
        <f t="shared" si="22"/>
        <v>0</v>
      </c>
      <c r="Y14" s="25">
        <f t="shared" si="23"/>
        <v>0</v>
      </c>
      <c r="Z14" s="28">
        <f t="shared" si="24"/>
        <v>3.3704277061017535E-05</v>
      </c>
      <c r="AA14" s="28">
        <f t="shared" si="25"/>
        <v>0.0006187215220810057</v>
      </c>
      <c r="AB14" s="32">
        <f t="shared" si="26"/>
        <v>0</v>
      </c>
      <c r="AC14" s="25">
        <f t="shared" si="27"/>
        <v>0</v>
      </c>
      <c r="AD14" s="28">
        <f t="shared" si="28"/>
        <v>1.7412249597789772E-06</v>
      </c>
      <c r="AE14" s="28">
        <f t="shared" si="29"/>
        <v>3.196305210123856E-05</v>
      </c>
      <c r="AF14" s="32">
        <f t="shared" si="30"/>
        <v>0</v>
      </c>
    </row>
    <row r="15" spans="1:32" ht="12.75">
      <c r="A15" s="27">
        <v>7</v>
      </c>
      <c r="B15" s="25">
        <f t="shared" si="0"/>
        <v>0.0034722222222222225</v>
      </c>
      <c r="C15" s="25">
        <f t="shared" si="1"/>
        <v>136980.31891652054</v>
      </c>
      <c r="D15" s="31">
        <f t="shared" si="2"/>
        <v>0</v>
      </c>
      <c r="E15" s="25">
        <f t="shared" si="3"/>
        <v>-3.3625492663091108</v>
      </c>
      <c r="F15" s="28">
        <f t="shared" si="4"/>
        <v>6.7373035298234365</v>
      </c>
      <c r="G15" s="28">
        <f t="shared" si="5"/>
        <v>0.3326964701765638</v>
      </c>
      <c r="H15" s="32">
        <f t="shared" si="6"/>
        <v>0</v>
      </c>
      <c r="I15" s="25">
        <f t="shared" si="7"/>
        <v>-3.3686934727687623</v>
      </c>
      <c r="J15" s="28">
        <f t="shared" si="8"/>
        <v>6.737383953163983</v>
      </c>
      <c r="K15" s="28">
        <f t="shared" si="9"/>
        <v>-8.0423340546254E-05</v>
      </c>
      <c r="L15" s="32">
        <f t="shared" si="10"/>
        <v>0.02203014747007804</v>
      </c>
      <c r="M15" s="25">
        <f t="shared" si="11"/>
        <v>0</v>
      </c>
      <c r="N15" s="28">
        <f t="shared" si="12"/>
        <v>0.24168950363677766</v>
      </c>
      <c r="O15" s="28">
        <f t="shared" si="13"/>
        <v>6.495694449527205</v>
      </c>
      <c r="P15" s="32">
        <f t="shared" si="14"/>
        <v>0</v>
      </c>
      <c r="Q15" s="25">
        <f t="shared" si="15"/>
        <v>0</v>
      </c>
      <c r="R15" s="28">
        <f t="shared" si="16"/>
        <v>0.011847727028538757</v>
      </c>
      <c r="S15" s="28">
        <f t="shared" si="17"/>
        <v>0.2298417766082389</v>
      </c>
      <c r="T15" s="32">
        <f t="shared" si="18"/>
        <v>0</v>
      </c>
      <c r="U15" s="25">
        <f t="shared" si="19"/>
        <v>0</v>
      </c>
      <c r="V15" s="28">
        <f t="shared" si="20"/>
        <v>0.0005884115222861436</v>
      </c>
      <c r="W15" s="28">
        <f t="shared" si="21"/>
        <v>0.011259315506252613</v>
      </c>
      <c r="X15" s="32">
        <f t="shared" si="22"/>
        <v>0</v>
      </c>
      <c r="Y15" s="25">
        <f t="shared" si="23"/>
        <v>0</v>
      </c>
      <c r="Z15" s="28">
        <f t="shared" si="24"/>
        <v>2.924198908299297E-05</v>
      </c>
      <c r="AA15" s="28">
        <f t="shared" si="25"/>
        <v>0.0005591695332031507</v>
      </c>
      <c r="AB15" s="32">
        <f t="shared" si="26"/>
        <v>0</v>
      </c>
      <c r="AC15" s="25">
        <f t="shared" si="27"/>
        <v>0</v>
      </c>
      <c r="AD15" s="28">
        <f t="shared" si="28"/>
        <v>1.4532707876774215E-06</v>
      </c>
      <c r="AE15" s="28">
        <f t="shared" si="29"/>
        <v>2.778871829531555E-05</v>
      </c>
      <c r="AF15" s="32">
        <f t="shared" si="30"/>
        <v>0</v>
      </c>
    </row>
    <row r="16" spans="1:32" ht="12.75">
      <c r="A16" s="27">
        <v>8</v>
      </c>
      <c r="B16" s="25">
        <f t="shared" si="0"/>
        <v>0.0035555555555555557</v>
      </c>
      <c r="C16" s="25">
        <f t="shared" si="1"/>
        <v>140267.84657051702</v>
      </c>
      <c r="D16" s="31">
        <f t="shared" si="2"/>
        <v>0</v>
      </c>
      <c r="E16" s="25">
        <f t="shared" si="3"/>
        <v>-3.365598590470703</v>
      </c>
      <c r="F16" s="28">
        <f t="shared" si="4"/>
        <v>6.7429947776790735</v>
      </c>
      <c r="G16" s="28">
        <f t="shared" si="5"/>
        <v>0.32700522232092677</v>
      </c>
      <c r="H16" s="32">
        <f t="shared" si="6"/>
        <v>0</v>
      </c>
      <c r="I16" s="25">
        <f t="shared" si="7"/>
        <v>-3.3715362959537583</v>
      </c>
      <c r="J16" s="28">
        <f t="shared" si="8"/>
        <v>6.743069846321061</v>
      </c>
      <c r="K16" s="28">
        <f t="shared" si="9"/>
        <v>-7.506864198791874E-05</v>
      </c>
      <c r="L16" s="32">
        <f t="shared" si="10"/>
        <v>0.021993010600293537</v>
      </c>
      <c r="M16" s="25">
        <f t="shared" si="11"/>
        <v>0</v>
      </c>
      <c r="N16" s="28">
        <f t="shared" si="12"/>
        <v>0.23792081682599164</v>
      </c>
      <c r="O16" s="28">
        <f t="shared" si="13"/>
        <v>6.50514902949507</v>
      </c>
      <c r="P16" s="32">
        <f t="shared" si="14"/>
        <v>0</v>
      </c>
      <c r="Q16" s="25">
        <f t="shared" si="15"/>
        <v>0</v>
      </c>
      <c r="R16" s="28">
        <f t="shared" si="16"/>
        <v>0.011408756289381289</v>
      </c>
      <c r="S16" s="28">
        <f t="shared" si="17"/>
        <v>0.22651206053661035</v>
      </c>
      <c r="T16" s="32">
        <f t="shared" si="18"/>
        <v>0</v>
      </c>
      <c r="U16" s="25">
        <f t="shared" si="19"/>
        <v>0</v>
      </c>
      <c r="V16" s="28">
        <f t="shared" si="20"/>
        <v>0.0005539975583349916</v>
      </c>
      <c r="W16" s="28">
        <f t="shared" si="21"/>
        <v>0.010854758731046297</v>
      </c>
      <c r="X16" s="32">
        <f t="shared" si="22"/>
        <v>0</v>
      </c>
      <c r="Y16" s="25">
        <f t="shared" si="23"/>
        <v>0</v>
      </c>
      <c r="Z16" s="28">
        <f t="shared" si="24"/>
        <v>2.691788660786113E-05</v>
      </c>
      <c r="AA16" s="28">
        <f t="shared" si="25"/>
        <v>0.0005270796717271305</v>
      </c>
      <c r="AB16" s="32">
        <f t="shared" si="26"/>
        <v>0</v>
      </c>
      <c r="AC16" s="25">
        <f t="shared" si="27"/>
        <v>0</v>
      </c>
      <c r="AD16" s="28">
        <f t="shared" si="28"/>
        <v>1.3079371334014849E-06</v>
      </c>
      <c r="AE16" s="28">
        <f t="shared" si="29"/>
        <v>2.5609949474459645E-05</v>
      </c>
      <c r="AF16" s="32">
        <f t="shared" si="30"/>
        <v>0</v>
      </c>
    </row>
    <row r="17" spans="1:32" ht="12.75">
      <c r="A17" s="27">
        <v>9</v>
      </c>
      <c r="B17" s="25">
        <f>D27/1000</f>
        <v>0.0038888888888888888</v>
      </c>
      <c r="C17" s="25">
        <f t="shared" si="1"/>
        <v>153417.957186503</v>
      </c>
      <c r="D17" s="31">
        <f t="shared" si="2"/>
        <v>0</v>
      </c>
      <c r="E17" s="25">
        <f t="shared" si="3"/>
        <v>-3.376667215527128</v>
      </c>
      <c r="F17" s="28">
        <f t="shared" si="4"/>
        <v>6.763698690389002</v>
      </c>
      <c r="G17" s="28">
        <f t="shared" si="5"/>
        <v>0.30630130961099855</v>
      </c>
      <c r="H17" s="32">
        <f>IF(AND(G17&gt;=-0.0001,G17&lt;=0.0001),1/F17^2,0)</f>
        <v>0</v>
      </c>
      <c r="I17" s="25">
        <f>IF(AND(H17=0,E17&lt;&gt;0),LOG(((0.27*$B$5)/($B$3))+((2.51*3.14*$B$3*$B$4*F17)/(4*$B17))),0)</f>
        <v>-3.381879178015727</v>
      </c>
      <c r="J17" s="28">
        <f>F17-((F17+2*I17)/(1+(5.02)/((((0.27*4*$B$5*$B17)/(3.14*$B$3^2*$B$4))+(2.51*F17))*2.302)))</f>
        <v>6.763756380417286</v>
      </c>
      <c r="K17" s="28">
        <f>F17-J17</f>
        <v>-5.769002828426295E-05</v>
      </c>
      <c r="L17" s="32">
        <f>IF(AND(K17&gt;=-0.0001,K17&lt;0),1/J17^2,0)</f>
        <v>0.021858687775590344</v>
      </c>
      <c r="M17" s="25">
        <f>IF(AND(L17=0,I17&lt;&gt;0),LOG(((0.27*$B$5)/($B$3))+((2.51*3.14*$B$3*$B$4*J17)/(4*$B17))),0)</f>
        <v>0</v>
      </c>
      <c r="N17" s="28">
        <f>J17-((J17+2*M17)/(1+(5.02)/((((0.27*4*$B$5*$B17)/(3.14*$B$3^2*$B$4))+(2.51*J17))*2.302)))</f>
        <v>0.223957088324787</v>
      </c>
      <c r="O17" s="28">
        <f>J17-N17</f>
        <v>6.539799292092499</v>
      </c>
      <c r="P17" s="32">
        <f>IF(AND(O17&gt;=-0.0001,O17&lt;0),1/N17^2,0)</f>
        <v>0</v>
      </c>
      <c r="Q17" s="25">
        <f>IF(AND(P17=0,M17&lt;&gt;0),LOG(((0.27*$B$5)/($B$3))+((2.51*3.14*$B$3*$B$4*N17)/(4*$B17))),0)</f>
        <v>0</v>
      </c>
      <c r="R17" s="28">
        <f>IF(P17=0,N17-((N17+2*Q17)/(1+(5.02)/((((0.27*4*$B$5*$B17)/(3.14*$B$3^2*$B$4))+(2.51*N17))*2.302))),0)</f>
        <v>0.009877343639226738</v>
      </c>
      <c r="S17" s="28">
        <f>N17-R17</f>
        <v>0.21407974468556026</v>
      </c>
      <c r="T17" s="32">
        <f>IF(AND(S17&gt;=-0.0001,S17&lt;0),1/R17^2,0)</f>
        <v>0</v>
      </c>
      <c r="U17" s="25">
        <f>IF(AND(T17=0,Q17&lt;&gt;0),LOG(((0.27*$B$5)/($B$3))+((2.51*3.14*$B$3*$B$4*R17)/(4*$B17))),0)</f>
        <v>0</v>
      </c>
      <c r="V17" s="28">
        <f>R17-((R17+2*U17)/(1+(5.02)/((((0.27*4*$B$5*$B17)/(3.14*$B$3^2*$B$4))+(2.51*R17))*2.302)))</f>
        <v>0.00044041388765125346</v>
      </c>
      <c r="W17" s="28">
        <f>R17-V17</f>
        <v>0.009436929751575484</v>
      </c>
      <c r="X17" s="32">
        <f>IF(AND(W17&gt;=-0.0001,W17&lt;0),1/V17^2,0)</f>
        <v>0</v>
      </c>
      <c r="Y17" s="25">
        <f>IF(AND(X17=0,U17&lt;&gt;0),LOG(((0.27*$B$5)/($B$3))+((2.51*3.14*$B$3*$B$4*V17)/(4*$B17))),0)</f>
        <v>0</v>
      </c>
      <c r="Z17" s="28">
        <f>V17-((V17+2*Y17)/(1+(5.02)/((((0.27*4*$B$5*$B17)/(3.14*$B$3^2*$B$4))+(2.51*V17))*2.302)))</f>
        <v>1.9646818485197107E-05</v>
      </c>
      <c r="AA17" s="28">
        <f>V17-Z17</f>
        <v>0.00042076706916605635</v>
      </c>
      <c r="AB17" s="32">
        <f>IF(AND(AA17&gt;=-0.0001,AA17&lt;0),1/Z17^2,0)</f>
        <v>0</v>
      </c>
      <c r="AC17" s="25">
        <f>IF(AND(AB17=0,Y17&lt;&gt;0),LOG(((0.27*$B$5)/($B$3))+((2.51*3.14*$B$3*$B$4*Z17)/(4*$B17))),0)</f>
        <v>0</v>
      </c>
      <c r="AD17" s="28">
        <f>Z17-((Z17+2*AC17)/(1+(5.02)/((((0.27*4*$B$5*$B17)/(3.14*$B$3^2*$B$4))+(2.51*Z17))*2.302)))</f>
        <v>8.764614989544518E-07</v>
      </c>
      <c r="AE17" s="28">
        <f>Z17-AD17</f>
        <v>1.8770356986242655E-05</v>
      </c>
      <c r="AF17" s="32">
        <f>IF(AND(AE17&gt;=-0.0001,AE17&lt;0),1/AD17^2,0)</f>
        <v>0</v>
      </c>
    </row>
    <row r="18" spans="1:4" ht="12.75">
      <c r="A18" s="30" t="s">
        <v>95</v>
      </c>
      <c r="B18" s="27" t="s">
        <v>124</v>
      </c>
      <c r="D18" s="5" t="s">
        <v>125</v>
      </c>
    </row>
    <row r="19" spans="1:4" ht="12.75">
      <c r="A19" s="27">
        <v>1</v>
      </c>
      <c r="B19" s="28">
        <f aca="true" t="shared" si="31" ref="B19:B26">SUMIF(D$7:AF$7,"F",D9:AF9)</f>
        <v>0.023173564499834706</v>
      </c>
      <c r="D19" s="5">
        <f>Gabarito!B55/3.6</f>
        <v>1.9444444444444444</v>
      </c>
    </row>
    <row r="20" spans="1:4" ht="12.75">
      <c r="A20" s="27">
        <v>2</v>
      </c>
      <c r="B20" s="28">
        <f t="shared" si="31"/>
        <v>0.02249169761277248</v>
      </c>
      <c r="D20" s="5">
        <f>Gabarito!B56/3.6</f>
        <v>2.6666666666666665</v>
      </c>
    </row>
    <row r="21" spans="1:4" ht="12.75">
      <c r="A21" s="27">
        <v>3</v>
      </c>
      <c r="B21" s="28">
        <f t="shared" si="31"/>
        <v>0.022324720064920475</v>
      </c>
      <c r="D21" s="5">
        <f>Gabarito!B57/3.6</f>
        <v>2.9166666666666665</v>
      </c>
    </row>
    <row r="22" spans="1:4" ht="12.75">
      <c r="A22" s="27">
        <v>4</v>
      </c>
      <c r="B22" s="28">
        <f t="shared" si="31"/>
        <v>0.02224230469469972</v>
      </c>
      <c r="D22" s="5">
        <f>Gabarito!B58/3.6</f>
        <v>3.0555555555555554</v>
      </c>
    </row>
    <row r="23" spans="1:4" ht="12.75">
      <c r="A23" s="27">
        <v>5</v>
      </c>
      <c r="B23" s="28">
        <f t="shared" si="31"/>
        <v>0.022166190567195945</v>
      </c>
      <c r="D23" s="5">
        <f>Gabarito!B59/3.6</f>
        <v>3.194444444444444</v>
      </c>
    </row>
    <row r="24" spans="1:4" ht="12.75">
      <c r="A24" s="27">
        <v>6</v>
      </c>
      <c r="B24" s="28">
        <f t="shared" si="31"/>
        <v>0.02209567240052599</v>
      </c>
      <c r="D24" s="5">
        <f>Gabarito!B60/3.6</f>
        <v>3.333333333333333</v>
      </c>
    </row>
    <row r="25" spans="1:4" ht="12.75">
      <c r="A25" s="27">
        <v>7</v>
      </c>
      <c r="B25" s="28">
        <f t="shared" si="31"/>
        <v>0.02203014747007804</v>
      </c>
      <c r="D25" s="5">
        <f>Gabarito!B61/3.6</f>
        <v>3.4722222222222223</v>
      </c>
    </row>
    <row r="26" spans="1:4" ht="12.75">
      <c r="A26" s="27">
        <v>8</v>
      </c>
      <c r="B26" s="28">
        <f t="shared" si="31"/>
        <v>0.021993010600293537</v>
      </c>
      <c r="D26" s="5">
        <f>Gabarito!B62/3.6</f>
        <v>3.555555555555556</v>
      </c>
    </row>
    <row r="27" spans="1:4" ht="12.75">
      <c r="A27" s="27">
        <v>9</v>
      </c>
      <c r="B27" s="28">
        <f>SUMIF(D$7:AF$7,"F",D17:AF17)</f>
        <v>0.021858687775590344</v>
      </c>
      <c r="D27" s="5">
        <f>Gabarito!B63/3.6</f>
        <v>3.888888888888889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A1">
      <selection activeCell="H37" sqref="H37"/>
    </sheetView>
  </sheetViews>
  <sheetFormatPr defaultColWidth="9.140625" defaultRowHeight="12.75"/>
  <cols>
    <col min="5" max="5" width="10.140625" style="0" customWidth="1"/>
    <col min="9" max="9" width="9.8515625" style="0" customWidth="1"/>
    <col min="13" max="13" width="10.140625" style="0" customWidth="1"/>
  </cols>
  <sheetData>
    <row r="1" spans="1:9" ht="12.75">
      <c r="A1" s="46" t="s">
        <v>85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3" ht="12.75">
      <c r="A3" s="21" t="s">
        <v>86</v>
      </c>
      <c r="B3" s="22">
        <f>Gabarito!B12/1000</f>
        <v>0.026600000000000002</v>
      </c>
      <c r="C3" s="23" t="s">
        <v>34</v>
      </c>
    </row>
    <row r="4" spans="1:3" ht="12.75" customHeight="1">
      <c r="A4" s="24" t="s">
        <v>87</v>
      </c>
      <c r="B4" s="25">
        <f>Gabarito!J5/Gabarito!J3</f>
        <v>7.914427760759303E-07</v>
      </c>
      <c r="C4" s="23" t="s">
        <v>88</v>
      </c>
    </row>
    <row r="5" spans="1:3" ht="12.75" customHeight="1">
      <c r="A5" s="26" t="s">
        <v>89</v>
      </c>
      <c r="B5" s="25">
        <v>4.6E-05</v>
      </c>
      <c r="C5" s="23" t="s">
        <v>34</v>
      </c>
    </row>
    <row r="6" spans="1:3" ht="12.75" customHeight="1">
      <c r="A6" s="27" t="s">
        <v>90</v>
      </c>
      <c r="B6" s="28">
        <v>7.07</v>
      </c>
      <c r="C6" s="23" t="s">
        <v>91</v>
      </c>
    </row>
    <row r="7" spans="4:32" s="29" customFormat="1" ht="12.75">
      <c r="D7" s="29" t="s">
        <v>92</v>
      </c>
      <c r="H7" s="29" t="s">
        <v>92</v>
      </c>
      <c r="L7" s="29" t="s">
        <v>92</v>
      </c>
      <c r="P7" s="29" t="s">
        <v>92</v>
      </c>
      <c r="T7" s="29" t="s">
        <v>92</v>
      </c>
      <c r="X7" s="29" t="s">
        <v>92</v>
      </c>
      <c r="AB7" s="29" t="s">
        <v>92</v>
      </c>
      <c r="AF7" s="29" t="s">
        <v>92</v>
      </c>
    </row>
    <row r="8" spans="1:32" ht="12.75">
      <c r="A8" s="27" t="s">
        <v>93</v>
      </c>
      <c r="B8" s="27" t="s">
        <v>46</v>
      </c>
      <c r="C8" s="27" t="s">
        <v>94</v>
      </c>
      <c r="D8" s="30" t="s">
        <v>95</v>
      </c>
      <c r="E8" s="27" t="s">
        <v>96</v>
      </c>
      <c r="F8" s="27" t="s">
        <v>97</v>
      </c>
      <c r="G8" s="27" t="s">
        <v>98</v>
      </c>
      <c r="H8" s="30" t="s">
        <v>99</v>
      </c>
      <c r="I8" s="27" t="s">
        <v>100</v>
      </c>
      <c r="J8" s="27" t="s">
        <v>101</v>
      </c>
      <c r="K8" s="27" t="s">
        <v>102</v>
      </c>
      <c r="L8" s="30" t="s">
        <v>103</v>
      </c>
      <c r="M8" s="27" t="s">
        <v>104</v>
      </c>
      <c r="N8" s="27" t="s">
        <v>105</v>
      </c>
      <c r="O8" s="27" t="s">
        <v>106</v>
      </c>
      <c r="P8" s="30" t="s">
        <v>107</v>
      </c>
      <c r="Q8" s="27" t="s">
        <v>108</v>
      </c>
      <c r="R8" s="27" t="s">
        <v>109</v>
      </c>
      <c r="S8" s="27" t="s">
        <v>110</v>
      </c>
      <c r="T8" s="30" t="s">
        <v>111</v>
      </c>
      <c r="U8" s="27" t="s">
        <v>112</v>
      </c>
      <c r="V8" s="27" t="s">
        <v>113</v>
      </c>
      <c r="W8" s="27" t="s">
        <v>114</v>
      </c>
      <c r="X8" s="30" t="s">
        <v>115</v>
      </c>
      <c r="Y8" s="27" t="s">
        <v>116</v>
      </c>
      <c r="Z8" s="27" t="s">
        <v>117</v>
      </c>
      <c r="AA8" s="27" t="s">
        <v>118</v>
      </c>
      <c r="AB8" s="30" t="s">
        <v>119</v>
      </c>
      <c r="AC8" s="27" t="s">
        <v>120</v>
      </c>
      <c r="AD8" s="27" t="s">
        <v>121</v>
      </c>
      <c r="AE8" s="27" t="s">
        <v>122</v>
      </c>
      <c r="AF8" s="30" t="s">
        <v>123</v>
      </c>
    </row>
    <row r="9" spans="1:32" ht="12.75">
      <c r="A9" s="27">
        <v>1</v>
      </c>
      <c r="B9" s="25">
        <f>D19/1000</f>
        <v>0.0019444444444444444</v>
      </c>
      <c r="C9" s="25">
        <f>(4*B9)/(3.14*$B$3*$B$4)</f>
        <v>117658.88445882182</v>
      </c>
      <c r="D9" s="31">
        <f>IF(C9&lt;=2000,64/C9,0)</f>
        <v>0</v>
      </c>
      <c r="E9" s="25">
        <f>IF($C9&gt;=2000,LOG(((0.27*$B$5)/($B$3))+((2.51*3.14*$B$3*$B$4*$B$6)/(4*$B9))),0)</f>
        <v>-3.2091938665204904</v>
      </c>
      <c r="F9" s="28">
        <f>$B$6-(($B$6+2*$E9)/(1+(5.02)/((((0.27*4*$B$5*$B9)/(3.14*$B$3^2*$B$4))+(2.51*$B$6))*2.302)))</f>
        <v>6.437368694905835</v>
      </c>
      <c r="G9" s="28">
        <f>($B$6-F9)</f>
        <v>0.632631305094165</v>
      </c>
      <c r="H9" s="32">
        <f>IF(AND(G9&gt;=-0.0001,G9&lt;=0.0001),1/F9^2,0)</f>
        <v>0</v>
      </c>
      <c r="I9" s="25">
        <f>IF(AND(H9=0,E9&lt;&gt;0),LOG(((0.27*$B$5)/($B$3))+((2.51*3.14*$B$3*$B$4*F9)/(4*$B9))),0)</f>
        <v>-3.218787113946801</v>
      </c>
      <c r="J9" s="28">
        <f>F9-((F9+2*I9)/(1+(5.02)/((((0.27*4*$B$5*$B9)/(3.14*$B$3^2*$B$4))+(2.51*F9))*2.302)))</f>
        <v>6.43756811113577</v>
      </c>
      <c r="K9" s="28">
        <f>F9-J9</f>
        <v>-0.00019941622993435715</v>
      </c>
      <c r="L9" s="32">
        <f>IF(AND(K9&gt;=-0.0001,K9&lt;0),1/J9^2,0)</f>
        <v>0</v>
      </c>
      <c r="M9" s="25">
        <f>IF(AND(L9=0,I9&lt;&gt;0),LOG(((0.27*$B$5)/($B$3))+((2.51*3.14*$B$3*$B$4*J9)/(4*$B9))),0)</f>
        <v>-3.21878405635579</v>
      </c>
      <c r="N9" s="28">
        <f>J9-((J9+2*M9)/(1+(5.02)/((((0.27*4*$B$5*$B9)/(3.14*$B$3^2*$B$4))+(2.51*J9))*2.302)))</f>
        <v>6.4375681126646835</v>
      </c>
      <c r="O9" s="28">
        <f>J9-N9</f>
        <v>-1.5289138843854744E-09</v>
      </c>
      <c r="P9" s="32">
        <f>IF(AND(O9&gt;=-0.0001,O9&lt;0),1/N9^2,0)</f>
        <v>0.024129944652146806</v>
      </c>
      <c r="Q9" s="25">
        <f>IF(AND(P9=0,M9&lt;&gt;0),LOG(((0.27*$B$5)/($B$3))+((2.51*3.14*$B$3*$B$4*N9)/(4*$B9))),0)</f>
        <v>0</v>
      </c>
      <c r="R9" s="28">
        <f>IF(P9=0,N9-((N9+2*Q9)/(1+(5.02)/((((0.27*4*$B$5*$B9)/(3.14*$B$3^2*$B$4))+(2.51*N9))*2.302))),0)</f>
        <v>0</v>
      </c>
      <c r="S9" s="28">
        <f>N9-R9</f>
        <v>6.4375681126646835</v>
      </c>
      <c r="T9" s="32">
        <f>IF(AND(S9&gt;=-0.0001,S9&lt;0),1/R9^2,0)</f>
        <v>0</v>
      </c>
      <c r="U9" s="25">
        <f>IF(AND(T9=0,Q9&lt;&gt;0),LOG(((0.27*$B$5)/($B$3))+((2.51*3.14*$B$3*$B$4*R9)/(4*$B9))),0)</f>
        <v>0</v>
      </c>
      <c r="V9" s="28">
        <f>R9-((R9+2*U9)/(1+(5.02)/((((0.27*4*$B$5*$B9)/(3.14*$B$3^2*$B$4))+(2.51*R9))*2.302)))</f>
        <v>0</v>
      </c>
      <c r="W9" s="28">
        <f>R9-V9</f>
        <v>0</v>
      </c>
      <c r="X9" s="32">
        <f>IF(AND(W9&gt;=-0.0001,W9&lt;0),1/V9^2,0)</f>
        <v>0</v>
      </c>
      <c r="Y9" s="25">
        <f>IF(AND(X9=0,U9&lt;&gt;0),LOG(((0.27*$B$5)/($B$3))+((2.51*3.14*$B$3*$B$4*V9)/(4*$B9))),0)</f>
        <v>0</v>
      </c>
      <c r="Z9" s="28">
        <f>V9-((V9+2*Y9)/(1+(5.02)/((((0.27*4*$B$5*$B9)/(3.14*$B$3^2*$B$4))+(2.51*V9))*2.302)))</f>
        <v>0</v>
      </c>
      <c r="AA9" s="28">
        <f>V9-Z9</f>
        <v>0</v>
      </c>
      <c r="AB9" s="32">
        <f>IF(AND(AA9&gt;=-0.0001,AA9&lt;0),1/Z9^2,0)</f>
        <v>0</v>
      </c>
      <c r="AC9" s="25">
        <f>IF(AND(AB9=0,Y9&lt;&gt;0),LOG(((0.27*$B$5)/($B$3))+((2.51*3.14*$B$3*$B$4*Z9)/(4*$B9))),0)</f>
        <v>0</v>
      </c>
      <c r="AD9" s="28">
        <f>Z9-((Z9+2*AC9)/(1+(5.02)/((((0.27*4*$B$5*$B9)/(3.14*$B$3^2*$B$4))+(2.51*Z9))*2.302)))</f>
        <v>0</v>
      </c>
      <c r="AE9" s="28">
        <f>Z9-AD9</f>
        <v>0</v>
      </c>
      <c r="AF9" s="32">
        <f>IF(AND(AE9&gt;=-0.0001,AE9&lt;0),1/AD9^2,0)</f>
        <v>0</v>
      </c>
    </row>
    <row r="10" spans="1:32" ht="12.75">
      <c r="A10" s="27">
        <v>2</v>
      </c>
      <c r="B10" s="25">
        <f aca="true" t="shared" si="0" ref="B10:B16">D20/1000</f>
        <v>0.0026666666666666666</v>
      </c>
      <c r="C10" s="25">
        <f aca="true" t="shared" si="1" ref="C10:C17">(4*B10)/(3.14*$B$3*$B$4)</f>
        <v>161360.75582924136</v>
      </c>
      <c r="D10" s="31">
        <f aca="true" t="shared" si="2" ref="D10:D17">IF(C10&lt;=2000,64/C10,0)</f>
        <v>0</v>
      </c>
      <c r="E10" s="25">
        <f aca="true" t="shared" si="3" ref="E10:E17">IF($C10&gt;=2000,LOG(((0.27*$B$5)/($B$3))+((2.51*3.14*$B$3*$B$4*$B$6)/(4*$B10))),0)</f>
        <v>-3.238905025424171</v>
      </c>
      <c r="F10" s="28">
        <f aca="true" t="shared" si="4" ref="F10:F17">$B$6-(($B$6+2*$E10)/(1+(5.02)/((((0.27*4*$B$5*$B10)/(3.14*$B$3^2*$B$4))+(2.51*$B$6))*2.302)))</f>
        <v>6.491365375434936</v>
      </c>
      <c r="G10" s="28">
        <f aca="true" t="shared" si="5" ref="G10:G17">($B$6-F10)</f>
        <v>0.5786346245650646</v>
      </c>
      <c r="H10" s="32">
        <f aca="true" t="shared" si="6" ref="H10:H16">IF(AND(G10&gt;=-0.0001,G10&lt;=0.0001),1/F10^2,0)</f>
        <v>0</v>
      </c>
      <c r="I10" s="25">
        <f aca="true" t="shared" si="7" ref="I10:I16">IF(AND(H10=0,E10&lt;&gt;0),LOG(((0.27*$B$5)/($B$3))+((2.51*3.14*$B$3*$B$4*F10)/(4*$B10))),0)</f>
        <v>-3.245734381541968</v>
      </c>
      <c r="J10" s="28">
        <f aca="true" t="shared" si="8" ref="J10:J16">F10-((F10+2*I10)/(1+(5.02)/((((0.27*4*$B$5*$B10)/(3.14*$B$3^2*$B$4))+(2.51*F10))*2.302)))</f>
        <v>6.491466359886937</v>
      </c>
      <c r="K10" s="28">
        <f aca="true" t="shared" si="9" ref="K10:K16">F10-J10</f>
        <v>-0.00010098445200146244</v>
      </c>
      <c r="L10" s="32">
        <f aca="true" t="shared" si="10" ref="L10:L16">IF(AND(K10&gt;=-0.0001,K10&lt;0),1/J10^2,0)</f>
        <v>0</v>
      </c>
      <c r="M10" s="25">
        <f aca="true" t="shared" si="11" ref="M10:M16">IF(AND(L10=0,I10&lt;&gt;0),LOG(((0.27*$B$5)/($B$3))+((2.51*3.14*$B$3*$B$4*J10)/(4*$B10))),0)</f>
        <v>-3.2457331802504594</v>
      </c>
      <c r="N10" s="28">
        <f aca="true" t="shared" si="12" ref="N10:N16">J10-((J10+2*M10)/(1+(5.02)/((((0.27*4*$B$5*$B10)/(3.14*$B$3^2*$B$4))+(2.51*J10))*2.302)))</f>
        <v>6.491466360486648</v>
      </c>
      <c r="O10" s="28">
        <f aca="true" t="shared" si="13" ref="O10:O16">J10-N10</f>
        <v>-5.997105034794004E-10</v>
      </c>
      <c r="P10" s="32">
        <f aca="true" t="shared" si="14" ref="P10:P16">IF(AND(O10&gt;=-0.0001,O10&lt;0),1/N10^2,0)</f>
        <v>0.02373090923468509</v>
      </c>
      <c r="Q10" s="25">
        <f aca="true" t="shared" si="15" ref="Q10:Q16">IF(AND(P10=0,M10&lt;&gt;0),LOG(((0.27*$B$5)/($B$3))+((2.51*3.14*$B$3*$B$4*N10)/(4*$B10))),0)</f>
        <v>0</v>
      </c>
      <c r="R10" s="28">
        <f aca="true" t="shared" si="16" ref="R10:R16">IF(P10=0,N10-((N10+2*Q10)/(1+(5.02)/((((0.27*4*$B$5*$B10)/(3.14*$B$3^2*$B$4))+(2.51*N10))*2.302))),0)</f>
        <v>0</v>
      </c>
      <c r="S10" s="28">
        <f aca="true" t="shared" si="17" ref="S10:S16">N10-R10</f>
        <v>6.491466360486648</v>
      </c>
      <c r="T10" s="32">
        <f aca="true" t="shared" si="18" ref="T10:T16">IF(AND(S10&gt;=-0.0001,S10&lt;0),1/R10^2,0)</f>
        <v>0</v>
      </c>
      <c r="U10" s="25">
        <f aca="true" t="shared" si="19" ref="U10:U16">IF(AND(T10=0,Q10&lt;&gt;0),LOG(((0.27*$B$5)/($B$3))+((2.51*3.14*$B$3*$B$4*R10)/(4*$B10))),0)</f>
        <v>0</v>
      </c>
      <c r="V10" s="28">
        <f aca="true" t="shared" si="20" ref="V10:V16">R10-((R10+2*U10)/(1+(5.02)/((((0.27*4*$B$5*$B10)/(3.14*$B$3^2*$B$4))+(2.51*R10))*2.302)))</f>
        <v>0</v>
      </c>
      <c r="W10" s="28">
        <f aca="true" t="shared" si="21" ref="W10:W16">R10-V10</f>
        <v>0</v>
      </c>
      <c r="X10" s="32">
        <f aca="true" t="shared" si="22" ref="X10:X16">IF(AND(W10&gt;=-0.0001,W10&lt;0),1/V10^2,0)</f>
        <v>0</v>
      </c>
      <c r="Y10" s="25">
        <f aca="true" t="shared" si="23" ref="Y10:Y16">IF(AND(X10=0,U10&lt;&gt;0),LOG(((0.27*$B$5)/($B$3))+((2.51*3.14*$B$3*$B$4*V10)/(4*$B10))),0)</f>
        <v>0</v>
      </c>
      <c r="Z10" s="28">
        <f aca="true" t="shared" si="24" ref="Z10:Z16">V10-((V10+2*Y10)/(1+(5.02)/((((0.27*4*$B$5*$B10)/(3.14*$B$3^2*$B$4))+(2.51*V10))*2.302)))</f>
        <v>0</v>
      </c>
      <c r="AA10" s="28">
        <f aca="true" t="shared" si="25" ref="AA10:AA16">V10-Z10</f>
        <v>0</v>
      </c>
      <c r="AB10" s="32">
        <f aca="true" t="shared" si="26" ref="AB10:AB16">IF(AND(AA10&gt;=-0.0001,AA10&lt;0),1/Z10^2,0)</f>
        <v>0</v>
      </c>
      <c r="AC10" s="25">
        <f aca="true" t="shared" si="27" ref="AC10:AC16">IF(AND(AB10=0,Y10&lt;&gt;0),LOG(((0.27*$B$5)/($B$3))+((2.51*3.14*$B$3*$B$4*Z10)/(4*$B10))),0)</f>
        <v>0</v>
      </c>
      <c r="AD10" s="28">
        <f aca="true" t="shared" si="28" ref="AD10:AD16">Z10-((Z10+2*AC10)/(1+(5.02)/((((0.27*4*$B$5*$B10)/(3.14*$B$3^2*$B$4))+(2.51*Z10))*2.302)))</f>
        <v>0</v>
      </c>
      <c r="AE10" s="28">
        <f aca="true" t="shared" si="29" ref="AE10:AE16">Z10-AD10</f>
        <v>0</v>
      </c>
      <c r="AF10" s="32">
        <f aca="true" t="shared" si="30" ref="AF10:AF16">IF(AND(AE10&gt;=-0.0001,AE10&lt;0),1/AD10^2,0)</f>
        <v>0</v>
      </c>
    </row>
    <row r="11" spans="1:32" ht="12.75">
      <c r="A11" s="27">
        <v>3</v>
      </c>
      <c r="B11" s="25">
        <f t="shared" si="0"/>
        <v>0.0029166666666666664</v>
      </c>
      <c r="C11" s="25">
        <f t="shared" si="1"/>
        <v>176488.32668823272</v>
      </c>
      <c r="D11" s="31">
        <f t="shared" si="2"/>
        <v>0</v>
      </c>
      <c r="E11" s="25">
        <f t="shared" si="3"/>
        <v>-3.2460600372713495</v>
      </c>
      <c r="F11" s="28">
        <f t="shared" si="4"/>
        <v>6.504434810942355</v>
      </c>
      <c r="G11" s="28">
        <f t="shared" si="5"/>
        <v>0.5655651890576454</v>
      </c>
      <c r="H11" s="32">
        <f t="shared" si="6"/>
        <v>0</v>
      </c>
      <c r="I11" s="25">
        <f t="shared" si="7"/>
        <v>-3.252259884539167</v>
      </c>
      <c r="J11" s="28">
        <f t="shared" si="8"/>
        <v>6.504517933134938</v>
      </c>
      <c r="K11" s="28">
        <f t="shared" si="9"/>
        <v>-8.312219258321818E-05</v>
      </c>
      <c r="L11" s="32">
        <f t="shared" si="10"/>
        <v>0.02363577076304302</v>
      </c>
      <c r="M11" s="25">
        <f t="shared" si="11"/>
        <v>0</v>
      </c>
      <c r="N11" s="28">
        <f t="shared" si="12"/>
        <v>0.1405621947282869</v>
      </c>
      <c r="O11" s="28">
        <f t="shared" si="13"/>
        <v>6.363955738406651</v>
      </c>
      <c r="P11" s="32">
        <f t="shared" si="14"/>
        <v>0</v>
      </c>
      <c r="Q11" s="25">
        <f t="shared" si="15"/>
        <v>0</v>
      </c>
      <c r="R11" s="28">
        <f t="shared" si="16"/>
        <v>0.0036087758680965754</v>
      </c>
      <c r="S11" s="28">
        <f t="shared" si="17"/>
        <v>0.13695341886019033</v>
      </c>
      <c r="T11" s="32">
        <f t="shared" si="18"/>
        <v>0</v>
      </c>
      <c r="U11" s="25">
        <f t="shared" si="19"/>
        <v>0</v>
      </c>
      <c r="V11" s="28">
        <f t="shared" si="20"/>
        <v>9.302774037247457E-05</v>
      </c>
      <c r="W11" s="28">
        <f t="shared" si="21"/>
        <v>0.003515748127724101</v>
      </c>
      <c r="X11" s="32">
        <f t="shared" si="22"/>
        <v>0</v>
      </c>
      <c r="Y11" s="25">
        <f t="shared" si="23"/>
        <v>0</v>
      </c>
      <c r="Z11" s="28">
        <f t="shared" si="24"/>
        <v>2.398337731617371E-06</v>
      </c>
      <c r="AA11" s="28">
        <f t="shared" si="25"/>
        <v>9.06294026408572E-05</v>
      </c>
      <c r="AB11" s="32">
        <f t="shared" si="26"/>
        <v>0</v>
      </c>
      <c r="AC11" s="25">
        <f t="shared" si="27"/>
        <v>0</v>
      </c>
      <c r="AD11" s="28">
        <f t="shared" si="28"/>
        <v>6.183144211540814E-08</v>
      </c>
      <c r="AE11" s="28">
        <f t="shared" si="29"/>
        <v>2.336506289501963E-06</v>
      </c>
      <c r="AF11" s="32">
        <f t="shared" si="30"/>
        <v>0</v>
      </c>
    </row>
    <row r="12" spans="1:32" ht="12.75">
      <c r="A12" s="27">
        <v>4</v>
      </c>
      <c r="B12" s="25">
        <f t="shared" si="0"/>
        <v>0.0030555555555555553</v>
      </c>
      <c r="C12" s="25">
        <f t="shared" si="1"/>
        <v>184892.5327210057</v>
      </c>
      <c r="D12" s="31">
        <f t="shared" si="2"/>
        <v>0</v>
      </c>
      <c r="E12" s="25">
        <f t="shared" si="3"/>
        <v>-3.2495720301824695</v>
      </c>
      <c r="F12" s="28">
        <f t="shared" si="4"/>
        <v>6.510859854492581</v>
      </c>
      <c r="G12" s="28">
        <f t="shared" si="5"/>
        <v>0.5591401455074196</v>
      </c>
      <c r="H12" s="32">
        <f t="shared" si="6"/>
        <v>0</v>
      </c>
      <c r="I12" s="25">
        <f t="shared" si="7"/>
        <v>-3.2554682838291673</v>
      </c>
      <c r="J12" s="28">
        <f t="shared" si="8"/>
        <v>6.510934972185007</v>
      </c>
      <c r="K12" s="28">
        <f t="shared" si="9"/>
        <v>-7.51176924262964E-05</v>
      </c>
      <c r="L12" s="32">
        <f t="shared" si="10"/>
        <v>0.023589203895940453</v>
      </c>
      <c r="M12" s="25">
        <f t="shared" si="11"/>
        <v>0</v>
      </c>
      <c r="N12" s="28">
        <f t="shared" si="12"/>
        <v>0.13541357997853076</v>
      </c>
      <c r="O12" s="28">
        <f t="shared" si="13"/>
        <v>6.375521392206476</v>
      </c>
      <c r="P12" s="32">
        <f t="shared" si="14"/>
        <v>0</v>
      </c>
      <c r="Q12" s="25">
        <f t="shared" si="15"/>
        <v>0</v>
      </c>
      <c r="R12" s="28">
        <f t="shared" si="16"/>
        <v>0.0033235528718761898</v>
      </c>
      <c r="S12" s="28">
        <f t="shared" si="17"/>
        <v>0.13209002710665457</v>
      </c>
      <c r="T12" s="32">
        <f t="shared" si="18"/>
        <v>0</v>
      </c>
      <c r="U12" s="25">
        <f t="shared" si="19"/>
        <v>0</v>
      </c>
      <c r="V12" s="28">
        <f t="shared" si="20"/>
        <v>8.187787706577217E-05</v>
      </c>
      <c r="W12" s="28">
        <f t="shared" si="21"/>
        <v>0.0032416749948104176</v>
      </c>
      <c r="X12" s="32">
        <f t="shared" si="22"/>
        <v>0</v>
      </c>
      <c r="Y12" s="25">
        <f t="shared" si="23"/>
        <v>0</v>
      </c>
      <c r="Z12" s="28">
        <f t="shared" si="24"/>
        <v>2.0172999487640055E-06</v>
      </c>
      <c r="AA12" s="28">
        <f t="shared" si="25"/>
        <v>7.986057711700817E-05</v>
      </c>
      <c r="AB12" s="32">
        <f t="shared" si="26"/>
        <v>0</v>
      </c>
      <c r="AC12" s="25">
        <f t="shared" si="27"/>
        <v>0</v>
      </c>
      <c r="AD12" s="28">
        <f t="shared" si="28"/>
        <v>4.9702171640951594E-08</v>
      </c>
      <c r="AE12" s="28">
        <f t="shared" si="29"/>
        <v>1.967597777123054E-06</v>
      </c>
      <c r="AF12" s="32">
        <f t="shared" si="30"/>
        <v>0</v>
      </c>
    </row>
    <row r="13" spans="1:32" ht="12.75">
      <c r="A13" s="27">
        <v>5</v>
      </c>
      <c r="B13" s="25">
        <f t="shared" si="0"/>
        <v>0.003194444444444444</v>
      </c>
      <c r="C13" s="25">
        <f t="shared" si="1"/>
        <v>193296.73875377869</v>
      </c>
      <c r="D13" s="31">
        <f t="shared" si="2"/>
        <v>0</v>
      </c>
      <c r="E13" s="25">
        <f t="shared" si="3"/>
        <v>-3.252803626207168</v>
      </c>
      <c r="F13" s="28">
        <f t="shared" si="4"/>
        <v>6.516777866400824</v>
      </c>
      <c r="G13" s="28">
        <f t="shared" si="5"/>
        <v>0.553222133599176</v>
      </c>
      <c r="H13" s="32">
        <f t="shared" si="6"/>
        <v>0</v>
      </c>
      <c r="I13" s="25">
        <f t="shared" si="7"/>
        <v>-3.2584237217259533</v>
      </c>
      <c r="J13" s="28">
        <f t="shared" si="8"/>
        <v>6.516846048787265</v>
      </c>
      <c r="K13" s="28">
        <f t="shared" si="9"/>
        <v>-6.8182386440796E-05</v>
      </c>
      <c r="L13" s="32">
        <f t="shared" si="10"/>
        <v>0.02354643033583353</v>
      </c>
      <c r="M13" s="25">
        <f t="shared" si="11"/>
        <v>0</v>
      </c>
      <c r="N13" s="28">
        <f t="shared" si="12"/>
        <v>0.13062928539728524</v>
      </c>
      <c r="O13" s="28">
        <f t="shared" si="13"/>
        <v>6.38621676338998</v>
      </c>
      <c r="P13" s="32">
        <f t="shared" si="14"/>
        <v>0</v>
      </c>
      <c r="Q13" s="25">
        <f t="shared" si="15"/>
        <v>0</v>
      </c>
      <c r="R13" s="28">
        <f t="shared" si="16"/>
        <v>0.0030709163963254515</v>
      </c>
      <c r="S13" s="28">
        <f t="shared" si="17"/>
        <v>0.1275583690009598</v>
      </c>
      <c r="T13" s="32">
        <f t="shared" si="18"/>
        <v>0</v>
      </c>
      <c r="U13" s="25">
        <f t="shared" si="19"/>
        <v>0</v>
      </c>
      <c r="V13" s="28">
        <f t="shared" si="20"/>
        <v>7.244309707396491E-05</v>
      </c>
      <c r="W13" s="28">
        <f t="shared" si="21"/>
        <v>0.0029984732992514866</v>
      </c>
      <c r="X13" s="32">
        <f t="shared" si="22"/>
        <v>0</v>
      </c>
      <c r="Y13" s="25">
        <f t="shared" si="23"/>
        <v>0</v>
      </c>
      <c r="Z13" s="28">
        <f t="shared" si="24"/>
        <v>1.7090760337668275E-06</v>
      </c>
      <c r="AA13" s="28">
        <f t="shared" si="25"/>
        <v>7.073402104019808E-05</v>
      </c>
      <c r="AB13" s="32">
        <f t="shared" si="26"/>
        <v>0</v>
      </c>
      <c r="AC13" s="25">
        <f t="shared" si="27"/>
        <v>0</v>
      </c>
      <c r="AD13" s="28">
        <f t="shared" si="28"/>
        <v>4.0320563553290825E-08</v>
      </c>
      <c r="AE13" s="28">
        <f t="shared" si="29"/>
        <v>1.6687554702135366E-06</v>
      </c>
      <c r="AF13" s="32">
        <f t="shared" si="30"/>
        <v>0</v>
      </c>
    </row>
    <row r="14" spans="1:32" ht="12.75">
      <c r="A14" s="27">
        <v>6</v>
      </c>
      <c r="B14" s="25">
        <f t="shared" si="0"/>
        <v>0.003333333333333333</v>
      </c>
      <c r="C14" s="25">
        <f t="shared" si="1"/>
        <v>201700.94478655167</v>
      </c>
      <c r="D14" s="31">
        <f t="shared" si="2"/>
        <v>0</v>
      </c>
      <c r="E14" s="25">
        <f t="shared" si="3"/>
        <v>-3.2557871962319522</v>
      </c>
      <c r="F14" s="28">
        <f t="shared" si="4"/>
        <v>6.522246804439036</v>
      </c>
      <c r="G14" s="28">
        <f t="shared" si="5"/>
        <v>0.547753195560964</v>
      </c>
      <c r="H14" s="32">
        <f t="shared" si="6"/>
        <v>0</v>
      </c>
      <c r="I14" s="25">
        <f t="shared" si="7"/>
        <v>-3.2611550836121657</v>
      </c>
      <c r="J14" s="28">
        <f t="shared" si="8"/>
        <v>6.522308941490453</v>
      </c>
      <c r="K14" s="28">
        <f t="shared" si="9"/>
        <v>-6.213705141711046E-05</v>
      </c>
      <c r="L14" s="32">
        <f t="shared" si="10"/>
        <v>0.02350700326955885</v>
      </c>
      <c r="M14" s="25">
        <f t="shared" si="11"/>
        <v>0</v>
      </c>
      <c r="N14" s="28">
        <f t="shared" si="12"/>
        <v>0.12617191521623639</v>
      </c>
      <c r="O14" s="28">
        <f t="shared" si="13"/>
        <v>6.396137026274217</v>
      </c>
      <c r="P14" s="32">
        <f t="shared" si="14"/>
        <v>0</v>
      </c>
      <c r="Q14" s="25">
        <f t="shared" si="15"/>
        <v>0</v>
      </c>
      <c r="R14" s="28">
        <f t="shared" si="16"/>
        <v>0.002846076891063032</v>
      </c>
      <c r="S14" s="28">
        <f t="shared" si="17"/>
        <v>0.12332583832517335</v>
      </c>
      <c r="T14" s="32">
        <f t="shared" si="18"/>
        <v>0</v>
      </c>
      <c r="U14" s="25">
        <f t="shared" si="19"/>
        <v>0</v>
      </c>
      <c r="V14" s="28">
        <f t="shared" si="20"/>
        <v>6.440556270822422E-05</v>
      </c>
      <c r="W14" s="28">
        <f t="shared" si="21"/>
        <v>0.0027816713283548076</v>
      </c>
      <c r="X14" s="32">
        <f t="shared" si="22"/>
        <v>0</v>
      </c>
      <c r="Y14" s="25">
        <f t="shared" si="23"/>
        <v>0</v>
      </c>
      <c r="Z14" s="28">
        <f t="shared" si="24"/>
        <v>1.4575773002485631E-06</v>
      </c>
      <c r="AA14" s="28">
        <f t="shared" si="25"/>
        <v>6.294798540797566E-05</v>
      </c>
      <c r="AB14" s="32">
        <f t="shared" si="26"/>
        <v>0</v>
      </c>
      <c r="AC14" s="25">
        <f t="shared" si="27"/>
        <v>0</v>
      </c>
      <c r="AD14" s="28">
        <f t="shared" si="28"/>
        <v>3.298682567890379E-08</v>
      </c>
      <c r="AE14" s="28">
        <f t="shared" si="29"/>
        <v>1.4245904745696594E-06</v>
      </c>
      <c r="AF14" s="32">
        <f t="shared" si="30"/>
        <v>0</v>
      </c>
    </row>
    <row r="15" spans="1:32" ht="12.75">
      <c r="A15" s="27">
        <v>7</v>
      </c>
      <c r="B15" s="25">
        <f t="shared" si="0"/>
        <v>0.0034722222222222225</v>
      </c>
      <c r="C15" s="25">
        <f t="shared" si="1"/>
        <v>210105.1508193247</v>
      </c>
      <c r="D15" s="31">
        <f t="shared" si="2"/>
        <v>0</v>
      </c>
      <c r="E15" s="25">
        <f t="shared" si="3"/>
        <v>-3.2585503020803355</v>
      </c>
      <c r="F15" s="28">
        <f t="shared" si="4"/>
        <v>6.527316088147536</v>
      </c>
      <c r="G15" s="28">
        <f t="shared" si="5"/>
        <v>0.542683911852464</v>
      </c>
      <c r="H15" s="32">
        <f t="shared" si="6"/>
        <v>0</v>
      </c>
      <c r="I15" s="25">
        <f t="shared" si="7"/>
        <v>-3.2636870044429034</v>
      </c>
      <c r="J15" s="28">
        <f t="shared" si="8"/>
        <v>6.527372926235599</v>
      </c>
      <c r="K15" s="28">
        <f t="shared" si="9"/>
        <v>-5.683808806278279E-05</v>
      </c>
      <c r="L15" s="32">
        <f t="shared" si="10"/>
        <v>0.023470543599921033</v>
      </c>
      <c r="M15" s="25">
        <f t="shared" si="11"/>
        <v>0</v>
      </c>
      <c r="N15" s="28">
        <f t="shared" si="12"/>
        <v>0.12200902857086326</v>
      </c>
      <c r="O15" s="28">
        <f t="shared" si="13"/>
        <v>6.405363897664736</v>
      </c>
      <c r="P15" s="32">
        <f t="shared" si="14"/>
        <v>0</v>
      </c>
      <c r="Q15" s="25">
        <f t="shared" si="15"/>
        <v>0</v>
      </c>
      <c r="R15" s="28">
        <f t="shared" si="16"/>
        <v>0.0026450948103430155</v>
      </c>
      <c r="S15" s="28">
        <f t="shared" si="17"/>
        <v>0.11936393376052025</v>
      </c>
      <c r="T15" s="32">
        <f t="shared" si="18"/>
        <v>0</v>
      </c>
      <c r="U15" s="25">
        <f t="shared" si="19"/>
        <v>0</v>
      </c>
      <c r="V15" s="28">
        <f t="shared" si="20"/>
        <v>5.751564497077444E-05</v>
      </c>
      <c r="W15" s="28">
        <f t="shared" si="21"/>
        <v>0.002587579165372241</v>
      </c>
      <c r="X15" s="32">
        <f t="shared" si="22"/>
        <v>0</v>
      </c>
      <c r="Y15" s="25">
        <f t="shared" si="23"/>
        <v>0</v>
      </c>
      <c r="Z15" s="28">
        <f t="shared" si="24"/>
        <v>1.2507164771624873E-06</v>
      </c>
      <c r="AA15" s="28">
        <f t="shared" si="25"/>
        <v>5.6264928493611954E-05</v>
      </c>
      <c r="AB15" s="32">
        <f t="shared" si="26"/>
        <v>0</v>
      </c>
      <c r="AC15" s="25">
        <f t="shared" si="27"/>
        <v>0</v>
      </c>
      <c r="AD15" s="28">
        <f t="shared" si="28"/>
        <v>2.7197711335568394E-08</v>
      </c>
      <c r="AE15" s="28">
        <f t="shared" si="29"/>
        <v>1.2235187658269189E-06</v>
      </c>
      <c r="AF15" s="32">
        <f t="shared" si="30"/>
        <v>0</v>
      </c>
    </row>
    <row r="16" spans="1:32" ht="12.75">
      <c r="A16" s="27">
        <v>8</v>
      </c>
      <c r="B16" s="25">
        <f t="shared" si="0"/>
        <v>0.0035555555555555557</v>
      </c>
      <c r="C16" s="25">
        <f t="shared" si="1"/>
        <v>215147.6744389885</v>
      </c>
      <c r="D16" s="31">
        <f t="shared" si="2"/>
        <v>0</v>
      </c>
      <c r="E16" s="25">
        <f t="shared" si="3"/>
        <v>-3.260112309541152</v>
      </c>
      <c r="F16" s="28">
        <f t="shared" si="4"/>
        <v>6.53018371766178</v>
      </c>
      <c r="G16" s="28">
        <f t="shared" si="5"/>
        <v>0.5398162823382204</v>
      </c>
      <c r="H16" s="32">
        <f t="shared" si="6"/>
        <v>0</v>
      </c>
      <c r="I16" s="25">
        <f t="shared" si="7"/>
        <v>-3.2651193462942167</v>
      </c>
      <c r="J16" s="28">
        <f t="shared" si="8"/>
        <v>6.530237685389583</v>
      </c>
      <c r="K16" s="28">
        <f t="shared" si="9"/>
        <v>-5.3967727803083676E-05</v>
      </c>
      <c r="L16" s="32">
        <f t="shared" si="10"/>
        <v>0.023449955465271514</v>
      </c>
      <c r="M16" s="25">
        <f t="shared" si="11"/>
        <v>0</v>
      </c>
      <c r="N16" s="28">
        <f t="shared" si="12"/>
        <v>0.1196407308830576</v>
      </c>
      <c r="O16" s="28">
        <f t="shared" si="13"/>
        <v>6.410596954506525</v>
      </c>
      <c r="P16" s="32">
        <f t="shared" si="14"/>
        <v>0</v>
      </c>
      <c r="Q16" s="25">
        <f t="shared" si="15"/>
        <v>0</v>
      </c>
      <c r="R16" s="28">
        <f t="shared" si="16"/>
        <v>0.0025345752341633665</v>
      </c>
      <c r="S16" s="28">
        <f t="shared" si="17"/>
        <v>0.11710615564889423</v>
      </c>
      <c r="T16" s="32">
        <f t="shared" si="18"/>
        <v>0</v>
      </c>
      <c r="U16" s="25">
        <f t="shared" si="19"/>
        <v>0</v>
      </c>
      <c r="V16" s="28">
        <f t="shared" si="20"/>
        <v>5.3848451073195726E-05</v>
      </c>
      <c r="W16" s="28">
        <f t="shared" si="21"/>
        <v>0.0024807267830901708</v>
      </c>
      <c r="X16" s="32">
        <f t="shared" si="22"/>
        <v>0</v>
      </c>
      <c r="Y16" s="25">
        <f t="shared" si="23"/>
        <v>0</v>
      </c>
      <c r="Z16" s="28">
        <f t="shared" si="24"/>
        <v>1.14410949642892E-06</v>
      </c>
      <c r="AA16" s="28">
        <f t="shared" si="25"/>
        <v>5.2704341576766806E-05</v>
      </c>
      <c r="AB16" s="32">
        <f t="shared" si="26"/>
        <v>0</v>
      </c>
      <c r="AC16" s="25">
        <f t="shared" si="27"/>
        <v>0</v>
      </c>
      <c r="AD16" s="28">
        <f t="shared" si="28"/>
        <v>2.4308744279056362E-08</v>
      </c>
      <c r="AE16" s="28">
        <f t="shared" si="29"/>
        <v>1.1198007521498637E-06</v>
      </c>
      <c r="AF16" s="32">
        <f t="shared" si="30"/>
        <v>0</v>
      </c>
    </row>
    <row r="17" spans="1:32" ht="12.75">
      <c r="A17" s="27">
        <v>9</v>
      </c>
      <c r="B17" s="25">
        <f>D27/1000</f>
        <v>0.0038888888888888888</v>
      </c>
      <c r="C17" s="25">
        <f t="shared" si="1"/>
        <v>235317.76891764364</v>
      </c>
      <c r="D17" s="31">
        <f t="shared" si="2"/>
        <v>0</v>
      </c>
      <c r="E17" s="25">
        <f t="shared" si="3"/>
        <v>-3.265737221520614</v>
      </c>
      <c r="F17" s="28">
        <f t="shared" si="4"/>
        <v>6.540521948610735</v>
      </c>
      <c r="G17" s="28">
        <f t="shared" si="5"/>
        <v>0.5294780513892654</v>
      </c>
      <c r="H17" s="32">
        <f>IF(AND(G17&gt;=-0.0001,G17&lt;=0.0001),1/F17^2,0)</f>
        <v>0</v>
      </c>
      <c r="I17" s="25">
        <f>IF(AND(H17=0,E17&lt;&gt;0),LOG(((0.27*$B$5)/($B$3))+((2.51*3.14*$B$3*$B$4*F17)/(4*$B17))),0)</f>
        <v>-3.2702835380487087</v>
      </c>
      <c r="J17" s="28">
        <f>F17-((F17+2*I17)/(1+(5.02)/((((0.27*4*$B$5*$B17)/(3.14*$B$3^2*$B$4))+(2.51*F17))*2.302)))</f>
        <v>6.540566310089552</v>
      </c>
      <c r="K17" s="28">
        <f>F17-J17</f>
        <v>-4.436147881747843E-05</v>
      </c>
      <c r="L17" s="32">
        <f>IF(AND(K17&gt;=-0.0001,K17&lt;0),1/J17^2,0)</f>
        <v>0.023375951308302136</v>
      </c>
      <c r="M17" s="25">
        <f>IF(AND(L17=0,I17&lt;&gt;0),LOG(((0.27*$B$5)/($B$3))+((2.51*3.14*$B$3*$B$4*J17)/(4*$B17))),0)</f>
        <v>0</v>
      </c>
      <c r="N17" s="28">
        <f>J17-((J17+2*M17)/(1+(5.02)/((((0.27*4*$B$5*$B17)/(3.14*$B$3^2*$B$4))+(2.51*J17))*2.302)))</f>
        <v>0.11102149184918897</v>
      </c>
      <c r="O17" s="28">
        <f>J17-N17</f>
        <v>6.429544818240363</v>
      </c>
      <c r="P17" s="32">
        <f>IF(AND(O17&gt;=-0.0001,O17&lt;0),1/N17^2,0)</f>
        <v>0</v>
      </c>
      <c r="Q17" s="25">
        <f>IF(AND(P17=0,M17&lt;&gt;0),LOG(((0.27*$B$5)/($B$3))+((2.51*3.14*$B$3*$B$4*N17)/(4*$B17))),0)</f>
        <v>0</v>
      </c>
      <c r="R17" s="28">
        <f>IF(P17=0,N17-((N17+2*Q17)/(1+(5.02)/((((0.27*4*$B$5*$B17)/(3.14*$B$3^2*$B$4))+(2.51*N17))*2.302))),0)</f>
        <v>0.0021552462232149877</v>
      </c>
      <c r="S17" s="28">
        <f>N17-R17</f>
        <v>0.10886624562597398</v>
      </c>
      <c r="T17" s="32">
        <f>IF(AND(S17&gt;=-0.0001,S17&lt;0),1/R17^2,0)</f>
        <v>0</v>
      </c>
      <c r="U17" s="25">
        <f>IF(AND(T17=0,Q17&lt;&gt;0),LOG(((0.27*$B$5)/($B$3))+((2.51*3.14*$B$3*$B$4*R17)/(4*$B17))),0)</f>
        <v>0</v>
      </c>
      <c r="V17" s="28">
        <f>R17-((R17+2*U17)/(1+(5.02)/((((0.27*4*$B$5*$B17)/(3.14*$B$3^2*$B$4))+(2.51*R17))*2.302)))</f>
        <v>4.194154730752849E-05</v>
      </c>
      <c r="W17" s="28">
        <f>R17-V17</f>
        <v>0.0021133046759074592</v>
      </c>
      <c r="X17" s="32">
        <f>IF(AND(W17&gt;=-0.0001,W17&lt;0),1/V17^2,0)</f>
        <v>0</v>
      </c>
      <c r="Y17" s="25">
        <f>IF(AND(X17=0,U17&lt;&gt;0),LOG(((0.27*$B$5)/($B$3))+((2.51*3.14*$B$3*$B$4*V17)/(4*$B17))),0)</f>
        <v>0</v>
      </c>
      <c r="Z17" s="28">
        <f>V17-((V17+2*Y17)/(1+(5.02)/((((0.27*4*$B$5*$B17)/(3.14*$B$3^2*$B$4))+(2.51*V17))*2.302)))</f>
        <v>8.162300171223741E-07</v>
      </c>
      <c r="AA17" s="28">
        <f>V17-Z17</f>
        <v>4.112531729040612E-05</v>
      </c>
      <c r="AB17" s="32">
        <f>IF(AND(AA17&gt;=-0.0001,AA17&lt;0),1/Z17^2,0)</f>
        <v>0</v>
      </c>
      <c r="AC17" s="25">
        <f>IF(AND(AB17=0,Y17&lt;&gt;0),LOG(((0.27*$B$5)/($B$3))+((2.51*3.14*$B$3*$B$4*Z17)/(4*$B17))),0)</f>
        <v>0</v>
      </c>
      <c r="AD17" s="28">
        <f>Z17-((Z17+2*AC17)/(1+(5.02)/((((0.27*4*$B$5*$B17)/(3.14*$B$3^2*$B$4))+(2.51*Z17))*2.302)))</f>
        <v>1.5884775296862566E-08</v>
      </c>
      <c r="AE17" s="28">
        <f>Z17-AD17</f>
        <v>8.003452418255115E-07</v>
      </c>
      <c r="AF17" s="32">
        <f>IF(AND(AE17&gt;=-0.0001,AE17&lt;0),1/AD17^2,0)</f>
        <v>0</v>
      </c>
    </row>
    <row r="18" spans="1:4" ht="12.75">
      <c r="A18" s="30" t="s">
        <v>95</v>
      </c>
      <c r="B18" s="27" t="s">
        <v>124</v>
      </c>
      <c r="D18" s="5" t="s">
        <v>125</v>
      </c>
    </row>
    <row r="19" spans="1:4" ht="12.75">
      <c r="A19" s="27">
        <v>1</v>
      </c>
      <c r="B19" s="28">
        <f aca="true" t="shared" si="31" ref="B19:B26">SUMIF(D$7:AF$7,"F",D9:AF9)</f>
        <v>0.024129944652146806</v>
      </c>
      <c r="D19" s="5">
        <f>Gabarito!B55/3.6</f>
        <v>1.9444444444444444</v>
      </c>
    </row>
    <row r="20" spans="1:4" ht="12.75">
      <c r="A20" s="27">
        <v>2</v>
      </c>
      <c r="B20" s="28">
        <f t="shared" si="31"/>
        <v>0.02373090923468509</v>
      </c>
      <c r="D20" s="5">
        <f>Gabarito!B56/3.6</f>
        <v>2.6666666666666665</v>
      </c>
    </row>
    <row r="21" spans="1:4" ht="12.75">
      <c r="A21" s="27">
        <v>3</v>
      </c>
      <c r="B21" s="28">
        <f t="shared" si="31"/>
        <v>0.02363577076304302</v>
      </c>
      <c r="D21" s="5">
        <f>Gabarito!B57/3.6</f>
        <v>2.9166666666666665</v>
      </c>
    </row>
    <row r="22" spans="1:4" ht="12.75">
      <c r="A22" s="27">
        <v>4</v>
      </c>
      <c r="B22" s="28">
        <f t="shared" si="31"/>
        <v>0.023589203895940453</v>
      </c>
      <c r="D22" s="5">
        <f>Gabarito!B58/3.6</f>
        <v>3.0555555555555554</v>
      </c>
    </row>
    <row r="23" spans="1:4" ht="12.75">
      <c r="A23" s="27">
        <v>5</v>
      </c>
      <c r="B23" s="28">
        <f t="shared" si="31"/>
        <v>0.02354643033583353</v>
      </c>
      <c r="D23" s="5">
        <f>Gabarito!B59/3.6</f>
        <v>3.194444444444444</v>
      </c>
    </row>
    <row r="24" spans="1:4" ht="12.75">
      <c r="A24" s="27">
        <v>6</v>
      </c>
      <c r="B24" s="28">
        <f t="shared" si="31"/>
        <v>0.02350700326955885</v>
      </c>
      <c r="D24" s="5">
        <f>Gabarito!B60/3.6</f>
        <v>3.333333333333333</v>
      </c>
    </row>
    <row r="25" spans="1:4" ht="12.75">
      <c r="A25" s="27">
        <v>7</v>
      </c>
      <c r="B25" s="28">
        <f t="shared" si="31"/>
        <v>0.023470543599921033</v>
      </c>
      <c r="D25" s="5">
        <f>Gabarito!B61/3.6</f>
        <v>3.4722222222222223</v>
      </c>
    </row>
    <row r="26" spans="1:4" ht="12.75">
      <c r="A26" s="27">
        <v>8</v>
      </c>
      <c r="B26" s="28">
        <f t="shared" si="31"/>
        <v>0.023449955465271514</v>
      </c>
      <c r="D26" s="5">
        <f>Gabarito!B62/3.6</f>
        <v>3.555555555555556</v>
      </c>
    </row>
    <row r="27" spans="1:4" ht="12.75">
      <c r="A27" s="27">
        <v>9</v>
      </c>
      <c r="B27" s="28">
        <f>SUMIF(D$7:AF$7,"F",D17:AF17)</f>
        <v>0.023375951308302136</v>
      </c>
      <c r="D27" s="5">
        <f>Gabarito!B63/3.6</f>
        <v>3.888888888888889</v>
      </c>
    </row>
  </sheetData>
  <mergeCells count="1">
    <mergeCell ref="A1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Raimundo (Alemão) Ferreira Ignácio</Manager>
  <Company>Escola da Vida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Associação em série de bombas</dc:title>
  <dc:subject>Mecânica dos fluidos para engenharia qu[imica</dc:subject>
  <dc:creator>Raimundo (Alemão) Ferreira Ignácio</dc:creator>
  <cp:keywords>associação série de bombas, ccb série, ponto de trabalho, cavitação, npsh</cp:keywords>
  <dc:description/>
  <cp:lastModifiedBy>Home</cp:lastModifiedBy>
  <dcterms:created xsi:type="dcterms:W3CDTF">2007-06-09T01:38:37Z</dcterms:created>
  <dcterms:modified xsi:type="dcterms:W3CDTF">2008-11-10T20:50:05Z</dcterms:modified>
  <cp:category>exercícios</cp:category>
  <cp:version/>
  <cp:contentType/>
  <cp:contentStatus/>
</cp:coreProperties>
</file>