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895" activeTab="0"/>
  </bookViews>
  <sheets>
    <sheet name="Solução_TB" sheetId="1" r:id="rId1"/>
    <sheet name="Swamee e Jain_aB" sheetId="2" r:id="rId2"/>
    <sheet name="Swamee e Jain_dB" sheetId="3" r:id="rId3"/>
    <sheet name="Haaland_aB" sheetId="4" r:id="rId4"/>
    <sheet name="Haaland_dB" sheetId="5" r:id="rId5"/>
  </sheets>
  <definedNames/>
  <calcPr fullCalcOnLoad="1"/>
</workbook>
</file>

<file path=xl/sharedStrings.xml><?xml version="1.0" encoding="utf-8"?>
<sst xmlns="http://schemas.openxmlformats.org/spreadsheetml/2006/main" count="190" uniqueCount="124">
  <si>
    <r>
      <t>r</t>
    </r>
    <r>
      <rPr>
        <vertAlign val="subscript"/>
        <sz val="10"/>
        <color indexed="10"/>
        <rFont val="Arial"/>
        <family val="2"/>
      </rPr>
      <t>água</t>
    </r>
    <r>
      <rPr>
        <sz val="10"/>
        <color indexed="10"/>
        <rFont val="Arial"/>
        <family val="0"/>
      </rPr>
      <t xml:space="preserve"> =</t>
    </r>
  </si>
  <si>
    <t>kg/m³</t>
  </si>
  <si>
    <r>
      <t>m</t>
    </r>
    <r>
      <rPr>
        <vertAlign val="subscript"/>
        <sz val="10"/>
        <color indexed="10"/>
        <rFont val="Arial"/>
        <family val="2"/>
      </rPr>
      <t>água</t>
    </r>
    <r>
      <rPr>
        <sz val="10"/>
        <color indexed="10"/>
        <rFont val="Arial"/>
        <family val="0"/>
      </rPr>
      <t xml:space="preserve"> =</t>
    </r>
  </si>
  <si>
    <t>Pa * s</t>
  </si>
  <si>
    <r>
      <t>p</t>
    </r>
    <r>
      <rPr>
        <vertAlign val="subscript"/>
        <sz val="10"/>
        <color indexed="10"/>
        <rFont val="Arial"/>
        <family val="2"/>
      </rPr>
      <t>vapor</t>
    </r>
    <r>
      <rPr>
        <sz val="10"/>
        <color indexed="10"/>
        <rFont val="Arial"/>
        <family val="0"/>
      </rPr>
      <t xml:space="preserve"> = </t>
    </r>
  </si>
  <si>
    <t>Pa (abs)</t>
  </si>
  <si>
    <r>
      <t>p</t>
    </r>
    <r>
      <rPr>
        <vertAlign val="subscript"/>
        <sz val="10"/>
        <color indexed="10"/>
        <rFont val="Arial"/>
        <family val="2"/>
      </rPr>
      <t>atm</t>
    </r>
    <r>
      <rPr>
        <sz val="10"/>
        <color indexed="10"/>
        <rFont val="Arial"/>
        <family val="0"/>
      </rPr>
      <t xml:space="preserve"> =</t>
    </r>
  </si>
  <si>
    <t>Pa</t>
  </si>
  <si>
    <t>g =</t>
  </si>
  <si>
    <t>m/s²</t>
  </si>
  <si>
    <t>m</t>
  </si>
  <si>
    <r>
      <t>L</t>
    </r>
    <r>
      <rPr>
        <vertAlign val="subscript"/>
        <sz val="10"/>
        <color indexed="10"/>
        <rFont val="Arial"/>
        <family val="2"/>
      </rPr>
      <t>aB</t>
    </r>
    <r>
      <rPr>
        <sz val="10"/>
        <color indexed="10"/>
        <rFont val="Arial"/>
        <family val="0"/>
      </rPr>
      <t xml:space="preserve"> =</t>
    </r>
  </si>
  <si>
    <t>niples:</t>
  </si>
  <si>
    <t>Comprimentos equivalentes antes da bomba</t>
  </si>
  <si>
    <t>VPC:</t>
  </si>
  <si>
    <r>
      <t>D</t>
    </r>
    <r>
      <rPr>
        <vertAlign val="subscript"/>
        <sz val="10"/>
        <color indexed="10"/>
        <rFont val="Arial"/>
        <family val="2"/>
      </rPr>
      <t>int</t>
    </r>
    <r>
      <rPr>
        <sz val="10"/>
        <color indexed="10"/>
        <rFont val="Arial"/>
        <family val="0"/>
      </rPr>
      <t xml:space="preserve"> =</t>
    </r>
  </si>
  <si>
    <t>mm</t>
  </si>
  <si>
    <t>jf :</t>
  </si>
  <si>
    <t>VG:</t>
  </si>
  <si>
    <t>A =</t>
  </si>
  <si>
    <t>cm²</t>
  </si>
  <si>
    <r>
      <t>Qproj</t>
    </r>
    <r>
      <rPr>
        <vertAlign val="subscript"/>
        <sz val="10"/>
        <color indexed="10"/>
        <rFont val="Arial"/>
        <family val="0"/>
      </rPr>
      <t>mín</t>
    </r>
    <r>
      <rPr>
        <sz val="10"/>
        <color indexed="10"/>
        <rFont val="Arial"/>
        <family val="0"/>
      </rPr>
      <t xml:space="preserve"> =</t>
    </r>
  </si>
  <si>
    <t>m³/h</t>
  </si>
  <si>
    <r>
      <t>v</t>
    </r>
    <r>
      <rPr>
        <vertAlign val="subscript"/>
        <sz val="10"/>
        <color indexed="10"/>
        <rFont val="Arial"/>
        <family val="2"/>
      </rPr>
      <t>aB</t>
    </r>
    <r>
      <rPr>
        <sz val="10"/>
        <color indexed="10"/>
        <rFont val="Arial"/>
        <family val="0"/>
      </rPr>
      <t xml:space="preserve"> (m/s)</t>
    </r>
  </si>
  <si>
    <t>Q(m³/h)</t>
  </si>
  <si>
    <t>v (m/s)</t>
  </si>
  <si>
    <t>Re</t>
  </si>
  <si>
    <t>A</t>
  </si>
  <si>
    <t>B</t>
  </si>
  <si>
    <t>C</t>
  </si>
  <si>
    <t>D</t>
  </si>
  <si>
    <t>K =</t>
  </si>
  <si>
    <r>
      <t>f</t>
    </r>
    <r>
      <rPr>
        <sz val="8"/>
        <rFont val="Arial"/>
        <family val="2"/>
      </rPr>
      <t>3"</t>
    </r>
  </si>
  <si>
    <t>Adotando PHR no eixo da bomba</t>
  </si>
  <si>
    <t>escala efetiva</t>
  </si>
  <si>
    <r>
      <t>Z</t>
    </r>
    <r>
      <rPr>
        <vertAlign val="subscript"/>
        <sz val="10"/>
        <color indexed="10"/>
        <rFont val="Arial"/>
        <family val="0"/>
      </rPr>
      <t>0</t>
    </r>
    <r>
      <rPr>
        <sz val="10"/>
        <color indexed="10"/>
        <rFont val="Arial"/>
        <family val="0"/>
      </rPr>
      <t xml:space="preserve"> =</t>
    </r>
  </si>
  <si>
    <r>
      <t>p</t>
    </r>
    <r>
      <rPr>
        <vertAlign val="subscript"/>
        <sz val="10"/>
        <color indexed="10"/>
        <rFont val="Arial"/>
        <family val="0"/>
      </rPr>
      <t>0</t>
    </r>
    <r>
      <rPr>
        <sz val="10"/>
        <color indexed="10"/>
        <rFont val="Arial"/>
        <family val="0"/>
      </rPr>
      <t xml:space="preserve"> =</t>
    </r>
  </si>
  <si>
    <r>
      <t>v</t>
    </r>
    <r>
      <rPr>
        <vertAlign val="subscript"/>
        <sz val="10"/>
        <color indexed="10"/>
        <rFont val="Arial"/>
        <family val="0"/>
      </rPr>
      <t>0</t>
    </r>
    <r>
      <rPr>
        <sz val="10"/>
        <color indexed="10"/>
        <rFont val="Arial"/>
        <family val="0"/>
      </rPr>
      <t xml:space="preserve"> =</t>
    </r>
  </si>
  <si>
    <t>regime permanente</t>
  </si>
  <si>
    <r>
      <t>Z</t>
    </r>
    <r>
      <rPr>
        <vertAlign val="subscript"/>
        <sz val="10"/>
        <color indexed="10"/>
        <rFont val="Arial"/>
        <family val="0"/>
      </rPr>
      <t>e</t>
    </r>
    <r>
      <rPr>
        <sz val="10"/>
        <color indexed="10"/>
        <rFont val="Arial"/>
        <family val="0"/>
      </rPr>
      <t xml:space="preserve"> =</t>
    </r>
  </si>
  <si>
    <r>
      <t>v</t>
    </r>
    <r>
      <rPr>
        <vertAlign val="subscript"/>
        <sz val="10"/>
        <color indexed="10"/>
        <rFont val="Arial"/>
        <family val="0"/>
      </rPr>
      <t>e</t>
    </r>
    <r>
      <rPr>
        <sz val="10"/>
        <color indexed="10"/>
        <rFont val="Arial"/>
        <family val="0"/>
      </rPr>
      <t xml:space="preserve"> =</t>
    </r>
  </si>
  <si>
    <t>m/s</t>
  </si>
  <si>
    <t>N/m³</t>
  </si>
  <si>
    <r>
      <t>g</t>
    </r>
    <r>
      <rPr>
        <sz val="10"/>
        <color indexed="10"/>
        <rFont val="Arial"/>
        <family val="0"/>
      </rPr>
      <t xml:space="preserve"> = </t>
    </r>
  </si>
  <si>
    <t>pe =</t>
  </si>
  <si>
    <t>pe abs =</t>
  </si>
  <si>
    <t>Comprimentos equivalentes depois da bomba</t>
  </si>
  <si>
    <t>uniões:</t>
  </si>
  <si>
    <t>VR:</t>
  </si>
  <si>
    <t>VGR:</t>
  </si>
  <si>
    <r>
      <t>L</t>
    </r>
    <r>
      <rPr>
        <vertAlign val="subscript"/>
        <sz val="10"/>
        <color indexed="10"/>
        <rFont val="Arial"/>
        <family val="2"/>
      </rPr>
      <t>dB</t>
    </r>
    <r>
      <rPr>
        <sz val="10"/>
        <color indexed="10"/>
        <rFont val="Arial"/>
        <family val="0"/>
      </rPr>
      <t xml:space="preserve"> =</t>
    </r>
  </si>
  <si>
    <t>Cálculo das perdas de carga</t>
  </si>
  <si>
    <t>. +</t>
  </si>
  <si>
    <t>) * Q²</t>
  </si>
  <si>
    <t>Adotando PHR no nível de captação</t>
  </si>
  <si>
    <r>
      <t>Z</t>
    </r>
    <r>
      <rPr>
        <vertAlign val="subscript"/>
        <sz val="10"/>
        <color indexed="10"/>
        <rFont val="Arial"/>
        <family val="0"/>
      </rPr>
      <t>i</t>
    </r>
    <r>
      <rPr>
        <sz val="10"/>
        <color indexed="10"/>
        <rFont val="Arial"/>
        <family val="0"/>
      </rPr>
      <t xml:space="preserve"> =</t>
    </r>
  </si>
  <si>
    <r>
      <t>p</t>
    </r>
    <r>
      <rPr>
        <vertAlign val="subscript"/>
        <sz val="10"/>
        <color indexed="10"/>
        <rFont val="Arial"/>
        <family val="0"/>
      </rPr>
      <t>i</t>
    </r>
    <r>
      <rPr>
        <sz val="10"/>
        <color indexed="10"/>
        <rFont val="Arial"/>
        <family val="2"/>
      </rPr>
      <t>/</t>
    </r>
    <r>
      <rPr>
        <sz val="10"/>
        <color indexed="10"/>
        <rFont val="Symbol"/>
        <family val="1"/>
      </rPr>
      <t>g</t>
    </r>
    <r>
      <rPr>
        <sz val="10"/>
        <color indexed="10"/>
        <rFont val="Arial"/>
        <family val="0"/>
      </rPr>
      <t xml:space="preserve"> =</t>
    </r>
  </si>
  <si>
    <r>
      <t>v</t>
    </r>
    <r>
      <rPr>
        <vertAlign val="subscript"/>
        <sz val="10"/>
        <color indexed="10"/>
        <rFont val="Arial"/>
        <family val="0"/>
      </rPr>
      <t>i</t>
    </r>
    <r>
      <rPr>
        <sz val="10"/>
        <color indexed="10"/>
        <rFont val="Arial"/>
        <family val="2"/>
      </rPr>
      <t>/2g</t>
    </r>
    <r>
      <rPr>
        <sz val="10"/>
        <color indexed="10"/>
        <rFont val="Arial"/>
        <family val="0"/>
      </rPr>
      <t xml:space="preserve"> =</t>
    </r>
  </si>
  <si>
    <r>
      <t>Z</t>
    </r>
    <r>
      <rPr>
        <vertAlign val="subscript"/>
        <sz val="10"/>
        <color indexed="10"/>
        <rFont val="Arial"/>
        <family val="0"/>
      </rPr>
      <t>f</t>
    </r>
    <r>
      <rPr>
        <sz val="10"/>
        <color indexed="10"/>
        <rFont val="Arial"/>
        <family val="0"/>
      </rPr>
      <t xml:space="preserve"> =</t>
    </r>
  </si>
  <si>
    <r>
      <t>p</t>
    </r>
    <r>
      <rPr>
        <vertAlign val="subscript"/>
        <sz val="10"/>
        <color indexed="10"/>
        <rFont val="Arial"/>
        <family val="0"/>
      </rPr>
      <t>f</t>
    </r>
    <r>
      <rPr>
        <sz val="10"/>
        <color indexed="10"/>
        <rFont val="Arial"/>
        <family val="2"/>
      </rPr>
      <t>/</t>
    </r>
    <r>
      <rPr>
        <sz val="10"/>
        <color indexed="10"/>
        <rFont val="Symbol"/>
        <family val="1"/>
      </rPr>
      <t>g</t>
    </r>
    <r>
      <rPr>
        <sz val="10"/>
        <color indexed="10"/>
        <rFont val="Arial"/>
        <family val="0"/>
      </rPr>
      <t xml:space="preserve"> =</t>
    </r>
  </si>
  <si>
    <r>
      <t>v</t>
    </r>
    <r>
      <rPr>
        <vertAlign val="subscript"/>
        <sz val="10"/>
        <color indexed="10"/>
        <rFont val="Arial"/>
        <family val="0"/>
      </rPr>
      <t>f</t>
    </r>
    <r>
      <rPr>
        <sz val="10"/>
        <color indexed="10"/>
        <rFont val="Arial"/>
        <family val="2"/>
      </rPr>
      <t>/2g</t>
    </r>
    <r>
      <rPr>
        <sz val="10"/>
        <color indexed="10"/>
        <rFont val="Arial"/>
        <family val="0"/>
      </rPr>
      <t xml:space="preserve"> =</t>
    </r>
  </si>
  <si>
    <t xml:space="preserve">Hs = </t>
  </si>
  <si>
    <t>* Q² +</t>
  </si>
  <si>
    <r>
      <t>f</t>
    </r>
    <r>
      <rPr>
        <vertAlign val="subscript"/>
        <sz val="10"/>
        <color indexed="10"/>
        <rFont val="Arial"/>
        <family val="0"/>
      </rPr>
      <t>aB</t>
    </r>
    <r>
      <rPr>
        <sz val="10"/>
        <color indexed="10"/>
        <rFont val="Arial"/>
        <family val="0"/>
      </rPr>
      <t xml:space="preserve"> =</t>
    </r>
  </si>
  <si>
    <t>Q =</t>
  </si>
  <si>
    <t>fator de segurança mínimo =</t>
  </si>
  <si>
    <t>vazão desejada =</t>
  </si>
  <si>
    <t>vazão de trabalho =</t>
  </si>
  <si>
    <t>NPSH disp =</t>
  </si>
  <si>
    <t>carga manométrica do ponto de trabalho =</t>
  </si>
  <si>
    <t>potência da bomba =</t>
  </si>
  <si>
    <t>rendimento da bomba no pto de trabalho =</t>
  </si>
  <si>
    <t>%</t>
  </si>
  <si>
    <t>W</t>
  </si>
  <si>
    <t>potência de referência do motor elétrico =</t>
  </si>
  <si>
    <t>CV</t>
  </si>
  <si>
    <t>motor escolhido para uma rede de 220 V =</t>
  </si>
  <si>
    <t>rendimento real do motor elétrico escolhido =</t>
  </si>
  <si>
    <t>cálculo do consumo mensal =</t>
  </si>
  <si>
    <t xml:space="preserve">opera </t>
  </si>
  <si>
    <t>h/dia</t>
  </si>
  <si>
    <t>dias/mês</t>
  </si>
  <si>
    <t>kWh/mês</t>
  </si>
  <si>
    <t>Consultando http://www.escoladavida.eng.br/mecfluquimica/primeiro2007/avaliação_preestabelecida/informações_importantes_para_projetos.pdf, tem-se:</t>
  </si>
  <si>
    <t>E</t>
  </si>
  <si>
    <r>
      <t>f</t>
    </r>
    <r>
      <rPr>
        <sz val="8"/>
        <rFont val="Arial"/>
        <family val="2"/>
      </rPr>
      <t>4"</t>
    </r>
  </si>
  <si>
    <t>B1</t>
  </si>
  <si>
    <t>Portanto a afirmação está correta</t>
  </si>
  <si>
    <t>B2</t>
  </si>
  <si>
    <t>O item 5 realmente é uma bomba e o 6 um motor elétrico, porém estão acoplados pelo eixo, já que o rotor é um componente interno da bomba.</t>
  </si>
  <si>
    <t>B3</t>
  </si>
  <si>
    <t>Errado, e isto pode ser comprovado pela tabela de Leq, supondo diâmetro de 3 " a válvula gaveta tem Leq = 1,03 m, enquanto que a globo reta sem guia tem o Leq = 25,90 m, o que demonstra que sua perda de carga é bem maior.</t>
  </si>
  <si>
    <t>B4</t>
  </si>
  <si>
    <t>B5</t>
  </si>
  <si>
    <t>L/s, igual a</t>
  </si>
  <si>
    <t>Coeficientes singulares antes da bomba</t>
  </si>
  <si>
    <t>B6</t>
  </si>
  <si>
    <t xml:space="preserve">Tubulação antes da bomba </t>
  </si>
  <si>
    <t xml:space="preserve">Tubulação depois da bomba </t>
  </si>
  <si>
    <t>Coeficientes singulares depois da bomba</t>
  </si>
  <si>
    <r>
      <t>en</t>
    </r>
    <r>
      <rPr>
        <sz val="10"/>
        <color indexed="10"/>
        <rFont val="Symbol"/>
        <family val="1"/>
      </rPr>
      <t>:</t>
    </r>
  </si>
  <si>
    <t xml:space="preserve"> * Q²</t>
  </si>
  <si>
    <t xml:space="preserve"> * Q² +</t>
  </si>
  <si>
    <t>B 8</t>
  </si>
  <si>
    <t>B 9</t>
  </si>
  <si>
    <t>B 10</t>
  </si>
  <si>
    <t>Gabarito turma B</t>
  </si>
  <si>
    <t>B 7</t>
  </si>
  <si>
    <t>A bomba C no ponto de rendimento máximo fornece a vazão e a carga manométrica necessárias, e para poder ser usada, como o NPSHreq é igual a 8,5 mca, deve-se ter um NPSHdisponível superior a 0,823 bar (= 8,502 mca), portanto a afirmação está correta.</t>
  </si>
  <si>
    <r>
      <t>A variação da rotação altera o ponto de trabalho, isto porque ela altera a CCB como pode ser observado pelo coeficiente manométrico (</t>
    </r>
    <r>
      <rPr>
        <sz val="10"/>
        <color indexed="12"/>
        <rFont val="Symbol"/>
        <family val="1"/>
      </rPr>
      <t>Y</t>
    </r>
    <r>
      <rPr>
        <sz val="10"/>
        <color indexed="12"/>
        <rFont val="Arial"/>
        <family val="0"/>
      </rPr>
      <t>) e pelo coeficiente de vazão (</t>
    </r>
    <r>
      <rPr>
        <sz val="10"/>
        <color indexed="12"/>
        <rFont val="Symbol"/>
        <family val="1"/>
      </rPr>
      <t>F</t>
    </r>
    <r>
      <rPr>
        <sz val="10"/>
        <color indexed="12"/>
        <rFont val="Arial"/>
        <family val="0"/>
      </rPr>
      <t>)</t>
    </r>
  </si>
  <si>
    <r>
      <t>S</t>
    </r>
    <r>
      <rPr>
        <sz val="10"/>
        <color indexed="12"/>
        <rFont val="Arial"/>
        <family val="0"/>
      </rPr>
      <t>Leq</t>
    </r>
    <r>
      <rPr>
        <vertAlign val="subscript"/>
        <sz val="10"/>
        <color indexed="12"/>
        <rFont val="Arial"/>
        <family val="2"/>
      </rPr>
      <t>aB</t>
    </r>
    <r>
      <rPr>
        <sz val="10"/>
        <color indexed="12"/>
        <rFont val="Arial"/>
        <family val="0"/>
      </rPr>
      <t xml:space="preserve"> =</t>
    </r>
  </si>
  <si>
    <r>
      <t>f</t>
    </r>
    <r>
      <rPr>
        <vertAlign val="subscript"/>
        <sz val="10"/>
        <color indexed="12"/>
        <rFont val="Arial"/>
        <family val="0"/>
      </rPr>
      <t>aB</t>
    </r>
  </si>
  <si>
    <r>
      <t>Hp</t>
    </r>
    <r>
      <rPr>
        <vertAlign val="subscript"/>
        <sz val="10"/>
        <color indexed="12"/>
        <rFont val="Arial"/>
        <family val="0"/>
      </rPr>
      <t>aB</t>
    </r>
    <r>
      <rPr>
        <sz val="10"/>
        <color indexed="12"/>
        <rFont val="Arial"/>
        <family val="0"/>
      </rPr>
      <t xml:space="preserve"> (m)</t>
    </r>
  </si>
  <si>
    <r>
      <t>S</t>
    </r>
    <r>
      <rPr>
        <sz val="10"/>
        <color indexed="12"/>
        <rFont val="Arial"/>
        <family val="0"/>
      </rPr>
      <t>Ks</t>
    </r>
    <r>
      <rPr>
        <vertAlign val="subscript"/>
        <sz val="10"/>
        <color indexed="12"/>
        <rFont val="Arial"/>
        <family val="2"/>
      </rPr>
      <t>aB</t>
    </r>
    <r>
      <rPr>
        <sz val="10"/>
        <color indexed="12"/>
        <rFont val="Arial"/>
        <family val="0"/>
      </rPr>
      <t xml:space="preserve"> =</t>
    </r>
  </si>
  <si>
    <r>
      <t>S</t>
    </r>
    <r>
      <rPr>
        <sz val="10"/>
        <color indexed="12"/>
        <rFont val="Arial"/>
        <family val="0"/>
      </rPr>
      <t>Leq</t>
    </r>
    <r>
      <rPr>
        <vertAlign val="subscript"/>
        <sz val="10"/>
        <color indexed="12"/>
        <rFont val="Arial"/>
        <family val="2"/>
      </rPr>
      <t>dB</t>
    </r>
    <r>
      <rPr>
        <sz val="10"/>
        <color indexed="12"/>
        <rFont val="Arial"/>
        <family val="0"/>
      </rPr>
      <t xml:space="preserve"> =</t>
    </r>
  </si>
  <si>
    <r>
      <t>S</t>
    </r>
    <r>
      <rPr>
        <sz val="10"/>
        <color indexed="12"/>
        <rFont val="Arial"/>
        <family val="0"/>
      </rPr>
      <t>Ks</t>
    </r>
    <r>
      <rPr>
        <vertAlign val="subscript"/>
        <sz val="10"/>
        <color indexed="12"/>
        <rFont val="Arial"/>
        <family val="2"/>
      </rPr>
      <t>dB</t>
    </r>
    <r>
      <rPr>
        <sz val="10"/>
        <color indexed="12"/>
        <rFont val="Arial"/>
        <family val="0"/>
      </rPr>
      <t xml:space="preserve"> =</t>
    </r>
  </si>
  <si>
    <r>
      <t>Hp</t>
    </r>
    <r>
      <rPr>
        <vertAlign val="subscript"/>
        <sz val="10"/>
        <color indexed="12"/>
        <rFont val="Arial"/>
        <family val="0"/>
      </rPr>
      <t>aB</t>
    </r>
    <r>
      <rPr>
        <sz val="10"/>
        <color indexed="12"/>
        <rFont val="Arial"/>
        <family val="0"/>
      </rPr>
      <t xml:space="preserve"> =</t>
    </r>
  </si>
  <si>
    <r>
      <t>( f</t>
    </r>
    <r>
      <rPr>
        <vertAlign val="subscript"/>
        <sz val="10"/>
        <color indexed="12"/>
        <rFont val="Arial"/>
        <family val="0"/>
      </rPr>
      <t>aB</t>
    </r>
    <r>
      <rPr>
        <sz val="10"/>
        <color indexed="12"/>
        <rFont val="Arial"/>
        <family val="0"/>
      </rPr>
      <t xml:space="preserve"> *</t>
    </r>
  </si>
  <si>
    <r>
      <t>Hp</t>
    </r>
    <r>
      <rPr>
        <vertAlign val="subscript"/>
        <sz val="10"/>
        <color indexed="12"/>
        <rFont val="Arial"/>
        <family val="0"/>
      </rPr>
      <t>dB</t>
    </r>
    <r>
      <rPr>
        <sz val="10"/>
        <color indexed="12"/>
        <rFont val="Arial"/>
        <family val="0"/>
      </rPr>
      <t xml:space="preserve"> =</t>
    </r>
  </si>
  <si>
    <r>
      <t>( f</t>
    </r>
    <r>
      <rPr>
        <vertAlign val="subscript"/>
        <sz val="10"/>
        <color indexed="12"/>
        <rFont val="Arial"/>
        <family val="0"/>
      </rPr>
      <t>dB</t>
    </r>
    <r>
      <rPr>
        <sz val="10"/>
        <color indexed="12"/>
        <rFont val="Arial"/>
        <family val="0"/>
      </rPr>
      <t xml:space="preserve"> *</t>
    </r>
  </si>
  <si>
    <t>faB *</t>
  </si>
  <si>
    <r>
      <t xml:space="preserve"> f</t>
    </r>
    <r>
      <rPr>
        <vertAlign val="subscript"/>
        <sz val="10"/>
        <color indexed="12"/>
        <rFont val="Arial"/>
        <family val="0"/>
      </rPr>
      <t>dB</t>
    </r>
    <r>
      <rPr>
        <sz val="10"/>
        <color indexed="12"/>
        <rFont val="Arial"/>
        <family val="0"/>
      </rPr>
      <t xml:space="preserve"> *</t>
    </r>
  </si>
  <si>
    <r>
      <t>f</t>
    </r>
    <r>
      <rPr>
        <vertAlign val="subscript"/>
        <sz val="10"/>
        <color indexed="12"/>
        <rFont val="Arial"/>
        <family val="0"/>
      </rPr>
      <t>dB</t>
    </r>
    <r>
      <rPr>
        <sz val="10"/>
        <color indexed="12"/>
        <rFont val="Arial"/>
        <family val="0"/>
      </rPr>
      <t xml:space="preserve"> =</t>
    </r>
  </si>
  <si>
    <r>
      <t>H</t>
    </r>
    <r>
      <rPr>
        <vertAlign val="subscript"/>
        <sz val="10"/>
        <color indexed="12"/>
        <rFont val="Arial"/>
        <family val="0"/>
      </rPr>
      <t>B</t>
    </r>
    <r>
      <rPr>
        <sz val="10"/>
        <color indexed="12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</si>
</sst>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0.0000E+00"/>
    <numFmt numFmtId="169" formatCode="0.000E+00"/>
    <numFmt numFmtId="170" formatCode="0.0E+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0"/>
    <numFmt numFmtId="176" formatCode="0.000000"/>
  </numFmts>
  <fonts count="11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10"/>
      <name val="Symbol"/>
      <family val="1"/>
    </font>
    <font>
      <vertAlign val="subscript"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0"/>
      <color indexed="12"/>
      <name val="Arial"/>
      <family val="0"/>
    </font>
    <font>
      <sz val="10"/>
      <color indexed="12"/>
      <name val="Symbol"/>
      <family val="1"/>
    </font>
    <font>
      <vertAlign val="subscript"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1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164" fontId="0" fillId="0" borderId="0" xfId="0" applyNumberFormat="1" applyFill="1" applyAlignment="1">
      <alignment horizontal="center"/>
    </xf>
    <xf numFmtId="11" fontId="1" fillId="2" borderId="0" xfId="0" applyNumberFormat="1" applyFont="1" applyFill="1" applyAlignment="1">
      <alignment/>
    </xf>
    <xf numFmtId="164" fontId="0" fillId="2" borderId="0" xfId="0" applyNumberForma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7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0" fillId="4" borderId="0" xfId="0" applyFill="1" applyAlignment="1">
      <alignment/>
    </xf>
    <xf numFmtId="166" fontId="0" fillId="4" borderId="0" xfId="0" applyNumberFormat="1" applyFill="1" applyAlignment="1">
      <alignment horizontal="center"/>
    </xf>
    <xf numFmtId="11" fontId="0" fillId="4" borderId="0" xfId="0" applyNumberForma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1" fontId="1" fillId="0" borderId="0" xfId="0" applyNumberFormat="1" applyFont="1" applyFill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1" fillId="5" borderId="0" xfId="0" applyFont="1" applyFill="1" applyAlignment="1">
      <alignment horizontal="center"/>
    </xf>
    <xf numFmtId="2" fontId="1" fillId="5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left" indent="1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0" fillId="6" borderId="0" xfId="0" applyFill="1" applyAlignment="1">
      <alignment/>
    </xf>
    <xf numFmtId="0" fontId="1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" fillId="6" borderId="0" xfId="0" applyFont="1" applyFill="1" applyAlignment="1">
      <alignment/>
    </xf>
    <xf numFmtId="0" fontId="8" fillId="2" borderId="0" xfId="0" applyFont="1" applyFill="1" applyAlignment="1">
      <alignment horizontal="center" vertical="justify"/>
    </xf>
    <xf numFmtId="0" fontId="8" fillId="6" borderId="0" xfId="0" applyFont="1" applyFill="1" applyAlignment="1">
      <alignment horizontal="center"/>
    </xf>
    <xf numFmtId="0" fontId="8" fillId="6" borderId="0" xfId="0" applyFont="1" applyFill="1" applyAlignment="1">
      <alignment/>
    </xf>
    <xf numFmtId="0" fontId="1" fillId="6" borderId="0" xfId="0" applyFont="1" applyFill="1" applyAlignment="1">
      <alignment horizontal="center" vertical="justify"/>
    </xf>
    <xf numFmtId="0" fontId="1" fillId="6" borderId="0" xfId="0" applyFont="1" applyFill="1" applyAlignment="1">
      <alignment horizontal="left"/>
    </xf>
    <xf numFmtId="11" fontId="0" fillId="6" borderId="0" xfId="0" applyNumberFormat="1" applyFill="1" applyAlignment="1">
      <alignment/>
    </xf>
    <xf numFmtId="0" fontId="1" fillId="6" borderId="0" xfId="0" applyFont="1" applyFill="1" applyAlignment="1">
      <alignment/>
    </xf>
    <xf numFmtId="164" fontId="0" fillId="6" borderId="0" xfId="0" applyNumberFormat="1" applyFill="1" applyAlignment="1">
      <alignment horizontal="center"/>
    </xf>
    <xf numFmtId="11" fontId="1" fillId="6" borderId="0" xfId="0" applyNumberFormat="1" applyFont="1" applyFill="1" applyAlignment="1">
      <alignment/>
    </xf>
    <xf numFmtId="0" fontId="3" fillId="6" borderId="0" xfId="0" applyFont="1" applyFill="1" applyAlignment="1">
      <alignment horizontal="center"/>
    </xf>
    <xf numFmtId="0" fontId="0" fillId="6" borderId="0" xfId="0" applyFill="1" applyAlignment="1">
      <alignment/>
    </xf>
    <xf numFmtId="167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2" fontId="1" fillId="6" borderId="0" xfId="0" applyNumberFormat="1" applyFont="1" applyFill="1" applyAlignment="1">
      <alignment horizontal="center"/>
    </xf>
    <xf numFmtId="164" fontId="1" fillId="6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2" fontId="0" fillId="6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3.wmf" /><Relationship Id="rId3" Type="http://schemas.openxmlformats.org/officeDocument/2006/relationships/image" Target="../media/image9.emf" /><Relationship Id="rId4" Type="http://schemas.openxmlformats.org/officeDocument/2006/relationships/image" Target="../media/image6.wmf" /><Relationship Id="rId5" Type="http://schemas.openxmlformats.org/officeDocument/2006/relationships/image" Target="../media/image4.wmf" /><Relationship Id="rId6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37</xdr:row>
      <xdr:rowOff>57150</xdr:rowOff>
    </xdr:from>
    <xdr:to>
      <xdr:col>8</xdr:col>
      <xdr:colOff>571500</xdr:colOff>
      <xdr:row>42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6276975"/>
          <a:ext cx="4752975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3</xdr:row>
      <xdr:rowOff>114300</xdr:rowOff>
    </xdr:from>
    <xdr:to>
      <xdr:col>10</xdr:col>
      <xdr:colOff>133350</xdr:colOff>
      <xdr:row>9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600075"/>
          <a:ext cx="6134100" cy="100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0"/>
  <sheetViews>
    <sheetView tabSelected="1" workbookViewId="0" topLeftCell="A1">
      <selection activeCell="I164" sqref="I164"/>
    </sheetView>
  </sheetViews>
  <sheetFormatPr defaultColWidth="9.140625" defaultRowHeight="12.75"/>
  <cols>
    <col min="5" max="5" width="11.8515625" style="0" customWidth="1"/>
    <col min="7" max="7" width="10.57421875" style="0" bestFit="1" customWidth="1"/>
    <col min="10" max="10" width="13.7109375" style="0" customWidth="1"/>
    <col min="11" max="11" width="9.57421875" style="0" bestFit="1" customWidth="1"/>
    <col min="12" max="12" width="11.57421875" style="0" bestFit="1" customWidth="1"/>
  </cols>
  <sheetData>
    <row r="1" spans="1:18" ht="12.75">
      <c r="A1" s="42" t="s">
        <v>106</v>
      </c>
      <c r="B1" s="42"/>
      <c r="C1" s="42"/>
      <c r="D1" s="42"/>
      <c r="E1" s="42"/>
      <c r="F1" s="42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2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2.75">
      <c r="A3" s="43" t="s">
        <v>86</v>
      </c>
      <c r="B3" s="38" t="s">
        <v>83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44"/>
      <c r="P3" s="44"/>
      <c r="Q3" s="44"/>
      <c r="R3" s="44"/>
    </row>
    <row r="4" spans="1:18" s="11" customFormat="1" ht="12.75">
      <c r="A4" s="45"/>
      <c r="B4" s="40"/>
      <c r="C4" s="40"/>
      <c r="D4" s="40"/>
      <c r="E4" s="40"/>
      <c r="F4" s="40"/>
      <c r="G4" s="40"/>
      <c r="H4" s="40"/>
      <c r="I4" s="40"/>
      <c r="J4" s="40"/>
      <c r="K4" s="40"/>
      <c r="L4" s="45"/>
      <c r="M4" s="44"/>
      <c r="N4" s="44"/>
      <c r="O4" s="44"/>
      <c r="P4" s="44"/>
      <c r="Q4" s="44"/>
      <c r="R4" s="44"/>
    </row>
    <row r="5" spans="1:18" s="11" customFormat="1" ht="12.75">
      <c r="A5" s="45"/>
      <c r="B5" s="40"/>
      <c r="C5" s="40"/>
      <c r="D5" s="40"/>
      <c r="E5" s="40"/>
      <c r="F5" s="40"/>
      <c r="G5" s="40"/>
      <c r="H5" s="40"/>
      <c r="I5" s="40"/>
      <c r="J5" s="40"/>
      <c r="K5" s="40"/>
      <c r="L5" s="45"/>
      <c r="M5" s="44"/>
      <c r="N5" s="44"/>
      <c r="O5" s="44"/>
      <c r="P5" s="44"/>
      <c r="Q5" s="44"/>
      <c r="R5" s="44"/>
    </row>
    <row r="6" spans="1:18" s="11" customFormat="1" ht="12.75">
      <c r="A6" s="45"/>
      <c r="B6" s="40"/>
      <c r="C6" s="40"/>
      <c r="D6" s="40"/>
      <c r="E6" s="40"/>
      <c r="F6" s="40"/>
      <c r="G6" s="40"/>
      <c r="H6" s="40"/>
      <c r="I6" s="40"/>
      <c r="J6" s="40"/>
      <c r="K6" s="40"/>
      <c r="L6" s="45"/>
      <c r="M6" s="44"/>
      <c r="N6" s="44"/>
      <c r="O6" s="44"/>
      <c r="P6" s="44"/>
      <c r="Q6" s="44"/>
      <c r="R6" s="44"/>
    </row>
    <row r="7" spans="1:18" s="11" customFormat="1" ht="12.75">
      <c r="A7" s="45"/>
      <c r="B7" s="40"/>
      <c r="C7" s="40"/>
      <c r="D7" s="40"/>
      <c r="E7" s="40"/>
      <c r="F7" s="40"/>
      <c r="G7" s="40"/>
      <c r="H7" s="40"/>
      <c r="I7" s="40"/>
      <c r="J7" s="40"/>
      <c r="K7" s="40"/>
      <c r="L7" s="45"/>
      <c r="M7" s="44"/>
      <c r="N7" s="44"/>
      <c r="O7" s="44"/>
      <c r="P7" s="44"/>
      <c r="Q7" s="44"/>
      <c r="R7" s="44"/>
    </row>
    <row r="8" spans="1:18" s="11" customFormat="1" ht="12.75">
      <c r="A8" s="45"/>
      <c r="B8" s="40"/>
      <c r="C8" s="40"/>
      <c r="D8" s="40"/>
      <c r="E8" s="40"/>
      <c r="F8" s="40"/>
      <c r="G8" s="40"/>
      <c r="H8" s="40"/>
      <c r="I8" s="40"/>
      <c r="J8" s="40"/>
      <c r="K8" s="40"/>
      <c r="L8" s="45"/>
      <c r="M8" s="44"/>
      <c r="N8" s="44"/>
      <c r="O8" s="44"/>
      <c r="P8" s="44"/>
      <c r="Q8" s="44"/>
      <c r="R8" s="44"/>
    </row>
    <row r="9" spans="1:18" s="11" customFormat="1" ht="12.75">
      <c r="A9" s="45"/>
      <c r="B9" s="40"/>
      <c r="C9" s="40"/>
      <c r="D9" s="40"/>
      <c r="E9" s="40"/>
      <c r="F9" s="40"/>
      <c r="G9" s="40"/>
      <c r="H9" s="40"/>
      <c r="I9" s="40"/>
      <c r="J9" s="40"/>
      <c r="K9" s="40"/>
      <c r="L9" s="45"/>
      <c r="M9" s="44"/>
      <c r="N9" s="44"/>
      <c r="O9" s="44"/>
      <c r="P9" s="44"/>
      <c r="Q9" s="44"/>
      <c r="R9" s="44"/>
    </row>
    <row r="10" spans="1:18" s="11" customFormat="1" ht="12.75">
      <c r="A10" s="45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5"/>
      <c r="M10" s="44"/>
      <c r="N10" s="44"/>
      <c r="O10" s="44"/>
      <c r="P10" s="44"/>
      <c r="Q10" s="44"/>
      <c r="R10" s="44"/>
    </row>
    <row r="11" spans="1:18" s="11" customFormat="1" ht="12.7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7"/>
      <c r="L11" s="45"/>
      <c r="M11" s="44"/>
      <c r="N11" s="44"/>
      <c r="O11" s="44"/>
      <c r="P11" s="44"/>
      <c r="Q11" s="44"/>
      <c r="R11" s="44"/>
    </row>
    <row r="12" spans="1:18" s="11" customFormat="1" ht="12.75">
      <c r="A12" s="45"/>
      <c r="B12" s="45"/>
      <c r="C12" s="45"/>
      <c r="D12" s="45"/>
      <c r="E12" s="45"/>
      <c r="F12" s="45"/>
      <c r="G12" s="42" t="s">
        <v>87</v>
      </c>
      <c r="H12" s="42"/>
      <c r="I12" s="42"/>
      <c r="J12" s="42"/>
      <c r="K12" s="47"/>
      <c r="L12" s="31">
        <v>0.125</v>
      </c>
      <c r="M12" s="44"/>
      <c r="N12" s="44"/>
      <c r="O12" s="44"/>
      <c r="P12" s="44"/>
      <c r="Q12" s="44"/>
      <c r="R12" s="44"/>
    </row>
    <row r="13" spans="1:18" ht="12.7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6"/>
      <c r="M13" s="44"/>
      <c r="N13" s="44"/>
      <c r="O13" s="44"/>
      <c r="P13" s="44"/>
      <c r="Q13" s="44"/>
      <c r="R13" s="44"/>
    </row>
    <row r="14" spans="1:18" ht="12.75">
      <c r="A14" s="43" t="s">
        <v>88</v>
      </c>
      <c r="B14" s="48" t="s">
        <v>89</v>
      </c>
      <c r="C14" s="48"/>
      <c r="D14" s="48"/>
      <c r="E14" s="48"/>
      <c r="F14" s="48"/>
      <c r="G14" s="48"/>
      <c r="H14" s="48"/>
      <c r="I14" s="48"/>
      <c r="J14" s="48"/>
      <c r="K14" s="48"/>
      <c r="L14" s="45"/>
      <c r="M14" s="44"/>
      <c r="N14" s="44"/>
      <c r="O14" s="44"/>
      <c r="P14" s="44"/>
      <c r="Q14" s="44"/>
      <c r="R14" s="44"/>
    </row>
    <row r="15" spans="1:18" s="11" customFormat="1" ht="12.75">
      <c r="A15" s="49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31">
        <v>0.125</v>
      </c>
      <c r="M15" s="44"/>
      <c r="N15" s="44"/>
      <c r="O15" s="44"/>
      <c r="P15" s="44"/>
      <c r="Q15" s="44"/>
      <c r="R15" s="44"/>
    </row>
    <row r="16" spans="1:18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6"/>
      <c r="M16" s="44"/>
      <c r="N16" s="44"/>
      <c r="O16" s="44"/>
      <c r="P16" s="44"/>
      <c r="Q16" s="44"/>
      <c r="R16" s="44"/>
    </row>
    <row r="17" spans="1:18" ht="12.75">
      <c r="A17" s="43" t="s">
        <v>90</v>
      </c>
      <c r="B17" s="48" t="s">
        <v>91</v>
      </c>
      <c r="C17" s="48"/>
      <c r="D17" s="48"/>
      <c r="E17" s="48"/>
      <c r="F17" s="48"/>
      <c r="G17" s="48"/>
      <c r="H17" s="48"/>
      <c r="I17" s="48"/>
      <c r="J17" s="48"/>
      <c r="K17" s="48"/>
      <c r="L17" s="45"/>
      <c r="M17" s="44"/>
      <c r="N17" s="44"/>
      <c r="O17" s="44"/>
      <c r="P17" s="44"/>
      <c r="Q17" s="44"/>
      <c r="R17" s="44"/>
    </row>
    <row r="18" spans="1:18" s="11" customFormat="1" ht="12.75">
      <c r="A18" s="49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5"/>
      <c r="M18" s="44"/>
      <c r="N18" s="44"/>
      <c r="O18" s="44"/>
      <c r="P18" s="44"/>
      <c r="Q18" s="44"/>
      <c r="R18" s="44"/>
    </row>
    <row r="19" spans="1:18" s="11" customFormat="1" ht="12.75">
      <c r="A19" s="49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31">
        <v>0.125</v>
      </c>
      <c r="M19" s="44"/>
      <c r="N19" s="44"/>
      <c r="O19" s="44"/>
      <c r="P19" s="44"/>
      <c r="Q19" s="44"/>
      <c r="R19" s="44"/>
    </row>
    <row r="20" spans="1:18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</row>
    <row r="21" spans="1:18" ht="12.75">
      <c r="A21" s="43" t="s">
        <v>92</v>
      </c>
      <c r="B21" s="48" t="s">
        <v>108</v>
      </c>
      <c r="C21" s="48"/>
      <c r="D21" s="48"/>
      <c r="E21" s="48"/>
      <c r="F21" s="48"/>
      <c r="G21" s="48"/>
      <c r="H21" s="48"/>
      <c r="I21" s="48"/>
      <c r="J21" s="48"/>
      <c r="K21" s="48"/>
      <c r="L21" s="45"/>
      <c r="M21" s="44"/>
      <c r="N21" s="44"/>
      <c r="O21" s="44"/>
      <c r="P21" s="44"/>
      <c r="Q21" s="44"/>
      <c r="R21" s="44"/>
    </row>
    <row r="22" spans="1:18" s="11" customFormat="1" ht="12.75">
      <c r="A22" s="49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5"/>
      <c r="M22" s="44"/>
      <c r="N22" s="44"/>
      <c r="O22" s="44"/>
      <c r="P22" s="44"/>
      <c r="Q22" s="44"/>
      <c r="R22" s="44"/>
    </row>
    <row r="23" spans="1:18" s="11" customFormat="1" ht="12.75">
      <c r="A23" s="49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31">
        <v>0.25</v>
      </c>
      <c r="M23" s="44"/>
      <c r="N23" s="44"/>
      <c r="O23" s="44"/>
      <c r="P23" s="44"/>
      <c r="Q23" s="44"/>
      <c r="R23" s="44"/>
    </row>
    <row r="24" spans="1:18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ht="12.75" customHeight="1">
      <c r="A25" s="43" t="s">
        <v>93</v>
      </c>
      <c r="B25" s="48" t="s">
        <v>109</v>
      </c>
      <c r="C25" s="48"/>
      <c r="D25" s="48"/>
      <c r="E25" s="48"/>
      <c r="F25" s="48"/>
      <c r="G25" s="48"/>
      <c r="H25" s="48"/>
      <c r="I25" s="48"/>
      <c r="J25" s="48"/>
      <c r="K25" s="48"/>
      <c r="L25" s="45"/>
      <c r="M25" s="44"/>
      <c r="N25" s="44"/>
      <c r="O25" s="44"/>
      <c r="P25" s="44"/>
      <c r="Q25" s="44"/>
      <c r="R25" s="44"/>
    </row>
    <row r="26" spans="1:18" ht="18" customHeight="1">
      <c r="A26" s="50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31">
        <v>0.125</v>
      </c>
      <c r="M26" s="44"/>
      <c r="N26" s="44"/>
      <c r="O26" s="44"/>
      <c r="P26" s="44"/>
      <c r="Q26" s="44"/>
      <c r="R26" s="44"/>
    </row>
    <row r="27" spans="1:18" ht="12.75">
      <c r="A27" s="44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44"/>
      <c r="M27" s="44"/>
      <c r="N27" s="44"/>
      <c r="O27" s="44"/>
      <c r="P27" s="44"/>
      <c r="Q27" s="44"/>
      <c r="R27" s="44"/>
    </row>
    <row r="28" spans="1:18" ht="15.75">
      <c r="A28" s="43" t="s">
        <v>96</v>
      </c>
      <c r="B28" s="44"/>
      <c r="C28" s="8" t="s">
        <v>0</v>
      </c>
      <c r="D28" s="1">
        <v>995.65</v>
      </c>
      <c r="E28" s="6" t="s">
        <v>1</v>
      </c>
      <c r="F28" s="44"/>
      <c r="G28" s="8" t="s">
        <v>2</v>
      </c>
      <c r="H28">
        <v>0.000788</v>
      </c>
      <c r="I28" s="4" t="s">
        <v>3</v>
      </c>
      <c r="J28" s="44"/>
      <c r="K28" s="2" t="s">
        <v>8</v>
      </c>
      <c r="L28" s="1">
        <v>9.8</v>
      </c>
      <c r="M28" s="6" t="s">
        <v>9</v>
      </c>
      <c r="N28" s="44"/>
      <c r="O28" s="44"/>
      <c r="P28" s="44"/>
      <c r="Q28" s="44"/>
      <c r="R28" s="44"/>
    </row>
    <row r="29" spans="1:18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</row>
    <row r="30" spans="1:18" ht="15.75">
      <c r="A30" s="44"/>
      <c r="B30" s="44"/>
      <c r="C30" s="2" t="s">
        <v>4</v>
      </c>
      <c r="D30" s="1">
        <v>4241.5</v>
      </c>
      <c r="E30" s="4" t="s">
        <v>5</v>
      </c>
      <c r="F30" s="44"/>
      <c r="G30" s="2" t="s">
        <v>6</v>
      </c>
      <c r="H30" s="9">
        <v>98000</v>
      </c>
      <c r="I30" s="6" t="s">
        <v>7</v>
      </c>
      <c r="J30" s="44"/>
      <c r="K30" s="2" t="s">
        <v>11</v>
      </c>
      <c r="L30" s="10">
        <v>5.6</v>
      </c>
      <c r="M30" s="6" t="s">
        <v>10</v>
      </c>
      <c r="N30" s="44"/>
      <c r="O30" s="44"/>
      <c r="P30" s="44"/>
      <c r="Q30" s="44"/>
      <c r="R30" s="44"/>
    </row>
    <row r="31" spans="1:18" s="11" customFormat="1" ht="12.75">
      <c r="A31" s="44"/>
      <c r="B31" s="44"/>
      <c r="C31" s="45"/>
      <c r="D31" s="46"/>
      <c r="E31" s="52"/>
      <c r="F31" s="44"/>
      <c r="G31" s="45"/>
      <c r="H31" s="53"/>
      <c r="I31" s="54"/>
      <c r="J31" s="44"/>
      <c r="K31" s="45"/>
      <c r="L31" s="55"/>
      <c r="M31" s="54"/>
      <c r="N31" s="44"/>
      <c r="O31" s="44"/>
      <c r="P31" s="44"/>
      <c r="Q31" s="44"/>
      <c r="R31" s="44"/>
    </row>
    <row r="32" spans="1:18" s="11" customFormat="1" ht="15.75">
      <c r="A32" s="44"/>
      <c r="B32" s="44"/>
      <c r="C32" s="2" t="s">
        <v>21</v>
      </c>
      <c r="D32" s="12">
        <v>55</v>
      </c>
      <c r="E32" s="4" t="s">
        <v>94</v>
      </c>
      <c r="F32" s="12">
        <f>D32*3.6</f>
        <v>198</v>
      </c>
      <c r="G32" s="2" t="s">
        <v>22</v>
      </c>
      <c r="H32" s="53"/>
      <c r="I32" s="54"/>
      <c r="J32" s="44"/>
      <c r="K32" s="45"/>
      <c r="L32" s="55"/>
      <c r="M32" s="54"/>
      <c r="N32" s="44"/>
      <c r="O32" s="44"/>
      <c r="P32" s="44"/>
      <c r="Q32" s="44"/>
      <c r="R32" s="44"/>
    </row>
    <row r="33" spans="1:18" s="11" customFormat="1" ht="12.75">
      <c r="A33" s="44"/>
      <c r="B33" s="44"/>
      <c r="C33" s="45"/>
      <c r="D33" s="46"/>
      <c r="E33" s="52"/>
      <c r="F33" s="44"/>
      <c r="G33" s="45"/>
      <c r="H33" s="53"/>
      <c r="I33" s="54"/>
      <c r="J33" s="44"/>
      <c r="K33" s="45"/>
      <c r="L33" s="55"/>
      <c r="M33" s="54"/>
      <c r="N33" s="44"/>
      <c r="O33" s="44"/>
      <c r="P33" s="44"/>
      <c r="Q33" s="44"/>
      <c r="R33" s="44"/>
    </row>
    <row r="34" spans="1:18" s="11" customFormat="1" ht="12.75">
      <c r="A34" s="44"/>
      <c r="B34" s="44"/>
      <c r="C34" s="38" t="s">
        <v>97</v>
      </c>
      <c r="D34" s="38"/>
      <c r="E34" s="38"/>
      <c r="F34" s="38"/>
      <c r="G34" s="38"/>
      <c r="H34" s="53"/>
      <c r="I34" s="54"/>
      <c r="J34" s="2" t="s">
        <v>31</v>
      </c>
      <c r="K34" s="28">
        <f>0.08/1000</f>
        <v>8E-05</v>
      </c>
      <c r="L34" s="17" t="s">
        <v>10</v>
      </c>
      <c r="M34" s="54"/>
      <c r="N34" s="44"/>
      <c r="O34" s="44"/>
      <c r="P34" s="44"/>
      <c r="Q34" s="44"/>
      <c r="R34" s="44"/>
    </row>
    <row r="35" spans="1:18" s="11" customFormat="1" ht="12.75">
      <c r="A35" s="44"/>
      <c r="B35" s="44"/>
      <c r="C35" s="45"/>
      <c r="D35" s="46"/>
      <c r="E35" s="52"/>
      <c r="F35" s="44"/>
      <c r="G35" s="45"/>
      <c r="H35" s="53"/>
      <c r="I35" s="54"/>
      <c r="J35" s="44"/>
      <c r="K35" s="45"/>
      <c r="L35" s="55"/>
      <c r="M35" s="54"/>
      <c r="N35" s="44"/>
      <c r="O35" s="44"/>
      <c r="P35" s="44"/>
      <c r="Q35" s="44"/>
      <c r="R35" s="44"/>
    </row>
    <row r="36" spans="1:18" ht="15.75">
      <c r="A36" s="44"/>
      <c r="B36" s="44"/>
      <c r="C36" s="45"/>
      <c r="D36" s="46"/>
      <c r="E36" s="52"/>
      <c r="F36" s="2" t="s">
        <v>15</v>
      </c>
      <c r="G36" s="7">
        <v>200</v>
      </c>
      <c r="H36" s="15" t="s">
        <v>16</v>
      </c>
      <c r="I36" s="54"/>
      <c r="J36" s="2" t="s">
        <v>19</v>
      </c>
      <c r="K36" s="27">
        <f>PI()*((G36/10)^2)/4</f>
        <v>314.1592653589793</v>
      </c>
      <c r="L36" s="17" t="s">
        <v>20</v>
      </c>
      <c r="M36" s="54"/>
      <c r="N36" s="44"/>
      <c r="O36" s="44"/>
      <c r="P36" s="44"/>
      <c r="Q36" s="44"/>
      <c r="R36" s="44"/>
    </row>
    <row r="37" spans="1:18" s="11" customFormat="1" ht="13.5" customHeight="1">
      <c r="A37" s="44"/>
      <c r="B37" s="44"/>
      <c r="C37" s="45"/>
      <c r="D37" s="46"/>
      <c r="E37" s="52"/>
      <c r="F37" s="45"/>
      <c r="G37" s="45"/>
      <c r="H37" s="56"/>
      <c r="I37" s="54"/>
      <c r="J37" s="44"/>
      <c r="K37" s="45"/>
      <c r="L37" s="55"/>
      <c r="M37" s="54"/>
      <c r="N37" s="44"/>
      <c r="O37" s="44"/>
      <c r="P37" s="44"/>
      <c r="Q37" s="44"/>
      <c r="R37" s="44"/>
    </row>
    <row r="38" spans="1:18" s="11" customFormat="1" ht="13.5" customHeight="1">
      <c r="A38" s="44"/>
      <c r="B38" s="5"/>
      <c r="C38" s="2"/>
      <c r="D38" s="3"/>
      <c r="E38" s="4"/>
      <c r="F38" s="2"/>
      <c r="G38" s="2"/>
      <c r="H38" s="15"/>
      <c r="I38" s="6"/>
      <c r="J38" s="5"/>
      <c r="K38" s="45"/>
      <c r="L38" s="55"/>
      <c r="M38" s="54"/>
      <c r="N38" s="44"/>
      <c r="O38" s="44"/>
      <c r="P38" s="44"/>
      <c r="Q38" s="44"/>
      <c r="R38" s="44"/>
    </row>
    <row r="39" spans="1:18" s="11" customFormat="1" ht="13.5" customHeight="1">
      <c r="A39" s="44"/>
      <c r="B39" s="5"/>
      <c r="C39" s="2"/>
      <c r="D39" s="3"/>
      <c r="E39" s="4"/>
      <c r="F39" s="2"/>
      <c r="G39" s="2"/>
      <c r="H39" s="15"/>
      <c r="I39" s="6"/>
      <c r="J39" s="5"/>
      <c r="K39" s="45"/>
      <c r="L39" s="55"/>
      <c r="M39" s="54"/>
      <c r="N39" s="44"/>
      <c r="O39" s="44"/>
      <c r="P39" s="44"/>
      <c r="Q39" s="44"/>
      <c r="R39" s="44"/>
    </row>
    <row r="40" spans="1:18" s="11" customFormat="1" ht="13.5" customHeight="1">
      <c r="A40" s="44"/>
      <c r="B40" s="5"/>
      <c r="C40" s="2"/>
      <c r="D40" s="3"/>
      <c r="E40" s="4"/>
      <c r="F40" s="2"/>
      <c r="G40" s="2"/>
      <c r="H40" s="15"/>
      <c r="I40" s="6"/>
      <c r="J40" s="5"/>
      <c r="K40" s="45"/>
      <c r="L40" s="55"/>
      <c r="M40" s="54"/>
      <c r="N40" s="44"/>
      <c r="O40" s="44"/>
      <c r="P40" s="44"/>
      <c r="Q40" s="44"/>
      <c r="R40" s="44"/>
    </row>
    <row r="41" spans="1:18" s="11" customFormat="1" ht="13.5" customHeight="1">
      <c r="A41" s="44"/>
      <c r="B41" s="5"/>
      <c r="C41" s="2"/>
      <c r="D41" s="3"/>
      <c r="E41" s="4"/>
      <c r="F41" s="2"/>
      <c r="G41" s="2"/>
      <c r="H41" s="15"/>
      <c r="I41" s="6"/>
      <c r="J41" s="5"/>
      <c r="K41" s="45"/>
      <c r="L41" s="55"/>
      <c r="M41" s="54"/>
      <c r="N41" s="44"/>
      <c r="O41" s="44"/>
      <c r="P41" s="44"/>
      <c r="Q41" s="44"/>
      <c r="R41" s="44"/>
    </row>
    <row r="42" spans="1:18" s="11" customFormat="1" ht="13.5" customHeight="1">
      <c r="A42" s="44"/>
      <c r="B42" s="5"/>
      <c r="C42" s="2"/>
      <c r="D42" s="3"/>
      <c r="E42" s="4"/>
      <c r="F42" s="2"/>
      <c r="G42" s="2"/>
      <c r="H42" s="15"/>
      <c r="I42" s="6"/>
      <c r="J42" s="5"/>
      <c r="K42" s="45"/>
      <c r="L42" s="55"/>
      <c r="M42" s="54"/>
      <c r="N42" s="44"/>
      <c r="O42" s="44"/>
      <c r="P42" s="44"/>
      <c r="Q42" s="44"/>
      <c r="R42" s="44"/>
    </row>
    <row r="43" spans="1:18" s="11" customFormat="1" ht="13.5" customHeight="1">
      <c r="A43" s="44"/>
      <c r="B43" s="5"/>
      <c r="C43" s="2"/>
      <c r="D43" s="3"/>
      <c r="E43" s="4"/>
      <c r="F43" s="2"/>
      <c r="G43" s="2"/>
      <c r="H43" s="15"/>
      <c r="I43" s="6"/>
      <c r="J43" s="5"/>
      <c r="K43" s="45"/>
      <c r="L43" s="55"/>
      <c r="M43" s="54"/>
      <c r="N43" s="44"/>
      <c r="O43" s="44"/>
      <c r="P43" s="44"/>
      <c r="Q43" s="44"/>
      <c r="R43" s="44"/>
    </row>
    <row r="44" spans="1:18" s="11" customFormat="1" ht="13.5" customHeight="1">
      <c r="A44" s="44"/>
      <c r="B44" s="44"/>
      <c r="C44" s="45"/>
      <c r="D44" s="46"/>
      <c r="E44" s="52"/>
      <c r="F44" s="45"/>
      <c r="G44" s="45"/>
      <c r="H44" s="56"/>
      <c r="I44" s="54"/>
      <c r="J44" s="44"/>
      <c r="K44" s="45"/>
      <c r="L44" s="55"/>
      <c r="M44" s="54"/>
      <c r="N44" s="44"/>
      <c r="O44" s="44"/>
      <c r="P44" s="44"/>
      <c r="Q44" s="44"/>
      <c r="R44" s="44"/>
    </row>
    <row r="45" spans="1:18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</row>
    <row r="46" spans="1:18" ht="12.75">
      <c r="A46" s="44"/>
      <c r="B46" s="44"/>
      <c r="C46" s="38" t="s">
        <v>13</v>
      </c>
      <c r="D46" s="38"/>
      <c r="E46" s="38"/>
      <c r="F46" s="38"/>
      <c r="G46" s="38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</row>
    <row r="47" spans="1:18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</row>
    <row r="48" spans="1:18" ht="12.75">
      <c r="A48" s="44"/>
      <c r="B48" s="44"/>
      <c r="C48" s="2" t="s">
        <v>12</v>
      </c>
      <c r="D48" s="1">
        <f>6*0.01</f>
        <v>0.06</v>
      </c>
      <c r="E48" s="6" t="s">
        <v>10</v>
      </c>
      <c r="F48" s="44"/>
      <c r="G48" s="58"/>
      <c r="H48" s="58"/>
      <c r="I48" s="58"/>
      <c r="J48" s="58"/>
      <c r="K48" s="58"/>
      <c r="L48" s="58"/>
      <c r="M48" s="44"/>
      <c r="N48" s="44"/>
      <c r="O48" s="44"/>
      <c r="P48" s="44"/>
      <c r="Q48" s="44"/>
      <c r="R48" s="44"/>
    </row>
    <row r="49" spans="1:18" ht="15.75">
      <c r="A49" s="44"/>
      <c r="B49" s="44"/>
      <c r="C49" s="61" t="s">
        <v>110</v>
      </c>
      <c r="D49" s="1">
        <f>SUM(D48:D48)</f>
        <v>0.06</v>
      </c>
      <c r="E49" s="6" t="s">
        <v>10</v>
      </c>
      <c r="F49" s="31">
        <v>0.0625</v>
      </c>
      <c r="G49" s="44"/>
      <c r="H49" s="44"/>
      <c r="I49" s="44"/>
      <c r="J49" s="44"/>
      <c r="K49" s="44"/>
      <c r="L49" s="44"/>
      <c r="M49" s="59"/>
      <c r="N49" s="44"/>
      <c r="O49" s="44"/>
      <c r="P49" s="44"/>
      <c r="Q49" s="44"/>
      <c r="R49" s="44"/>
    </row>
    <row r="50" spans="1:18" s="11" customFormat="1" ht="12.75">
      <c r="A50" s="44"/>
      <c r="B50" s="44"/>
      <c r="C50" s="57"/>
      <c r="D50" s="46"/>
      <c r="E50" s="54"/>
      <c r="F50" s="45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</row>
    <row r="51" spans="1:18" s="11" customFormat="1" ht="12.75">
      <c r="A51" s="44"/>
      <c r="B51" s="44"/>
      <c r="C51" s="38" t="s">
        <v>95</v>
      </c>
      <c r="D51" s="38"/>
      <c r="E51" s="38"/>
      <c r="F51" s="38"/>
      <c r="G51" s="38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</row>
    <row r="52" spans="1:18" s="11" customFormat="1" ht="12.75">
      <c r="A52" s="44"/>
      <c r="B52" s="44"/>
      <c r="C52" s="57"/>
      <c r="D52" s="46"/>
      <c r="E52" s="54"/>
      <c r="F52" s="45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</row>
    <row r="53" spans="1:18" ht="12.75">
      <c r="A53" s="44"/>
      <c r="B53" s="44"/>
      <c r="C53" s="2" t="s">
        <v>14</v>
      </c>
      <c r="D53" s="1">
        <v>10</v>
      </c>
      <c r="E53" s="54"/>
      <c r="F53" s="44"/>
      <c r="G53" s="39"/>
      <c r="H53" s="39"/>
      <c r="I53" s="39"/>
      <c r="J53" s="39"/>
      <c r="K53" s="39"/>
      <c r="L53" s="39"/>
      <c r="M53" s="39"/>
      <c r="N53" s="44"/>
      <c r="O53" s="44"/>
      <c r="P53" s="44"/>
      <c r="Q53" s="44"/>
      <c r="R53" s="44"/>
    </row>
    <row r="54" spans="1:18" ht="12.75">
      <c r="A54" s="44"/>
      <c r="B54" s="44"/>
      <c r="C54" s="2" t="s">
        <v>17</v>
      </c>
      <c r="D54" s="1">
        <v>0.3</v>
      </c>
      <c r="E54" s="54"/>
      <c r="F54" s="44"/>
      <c r="G54" s="39"/>
      <c r="H54" s="39"/>
      <c r="I54" s="39"/>
      <c r="J54" s="39"/>
      <c r="K54" s="39"/>
      <c r="L54" s="39"/>
      <c r="M54" s="39"/>
      <c r="N54" s="44"/>
      <c r="O54" s="44"/>
      <c r="P54" s="44"/>
      <c r="Q54" s="44"/>
      <c r="R54" s="44"/>
    </row>
    <row r="55" spans="1:18" ht="12.75">
      <c r="A55" s="44"/>
      <c r="B55" s="44"/>
      <c r="C55" s="2" t="s">
        <v>18</v>
      </c>
      <c r="D55" s="1">
        <v>0.15</v>
      </c>
      <c r="E55" s="54"/>
      <c r="F55" s="44"/>
      <c r="G55" s="39"/>
      <c r="H55" s="39"/>
      <c r="I55" s="39"/>
      <c r="J55" s="39"/>
      <c r="K55" s="39"/>
      <c r="L55" s="39"/>
      <c r="M55" s="39"/>
      <c r="N55" s="44"/>
      <c r="O55" s="44"/>
      <c r="P55" s="44"/>
      <c r="Q55" s="44"/>
      <c r="R55" s="44"/>
    </row>
    <row r="56" spans="1:18" ht="15.75">
      <c r="A56" s="44"/>
      <c r="B56" s="44"/>
      <c r="C56" s="61" t="s">
        <v>113</v>
      </c>
      <c r="D56" s="1">
        <f>SUM(D53:D55)</f>
        <v>10.450000000000001</v>
      </c>
      <c r="E56" s="54"/>
      <c r="F56" s="31">
        <v>0.0625</v>
      </c>
      <c r="G56" s="39"/>
      <c r="H56" s="39"/>
      <c r="I56" s="39"/>
      <c r="J56" s="39"/>
      <c r="K56" s="39"/>
      <c r="L56" s="39"/>
      <c r="M56" s="39"/>
      <c r="N56" s="44"/>
      <c r="O56" s="44"/>
      <c r="P56" s="44"/>
      <c r="Q56" s="44"/>
      <c r="R56" s="44"/>
    </row>
    <row r="57" spans="1:18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</row>
    <row r="58" spans="1:18" ht="15.75">
      <c r="A58" s="44"/>
      <c r="B58" s="44"/>
      <c r="C58" s="2" t="s">
        <v>23</v>
      </c>
      <c r="D58" s="43" t="s">
        <v>111</v>
      </c>
      <c r="E58" s="43" t="s">
        <v>112</v>
      </c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</row>
    <row r="59" spans="1:18" ht="12.75">
      <c r="A59" s="44"/>
      <c r="B59" s="44"/>
      <c r="C59" s="19">
        <f>(F32/3600)/(K36/10000)</f>
        <v>1.7507043740108486</v>
      </c>
      <c r="D59" s="29">
        <f>'Swamee e Jain_aB'!I19</f>
        <v>0.017237157429391237</v>
      </c>
      <c r="E59" s="30">
        <f>(D59*(L30+D49)*(C59^2))/((G36/1000)*2*L28)+((D56*(C59^2))/(2*L28))</f>
        <v>1.7104091020590406</v>
      </c>
      <c r="F59" s="44"/>
      <c r="G59" s="44"/>
      <c r="H59" s="44"/>
      <c r="I59" s="44"/>
      <c r="J59" s="44"/>
      <c r="K59" s="44"/>
      <c r="L59" s="44"/>
      <c r="M59" s="60"/>
      <c r="N59" s="44"/>
      <c r="O59" s="44"/>
      <c r="P59" s="44"/>
      <c r="Q59" s="44"/>
      <c r="R59" s="44"/>
    </row>
    <row r="60" spans="1:18" ht="12.75">
      <c r="A60" s="44"/>
      <c r="B60" s="44"/>
      <c r="C60" s="44"/>
      <c r="D60" s="31">
        <v>0.25</v>
      </c>
      <c r="E60" s="31">
        <v>0.25</v>
      </c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</row>
    <row r="61" spans="1:18" ht="12.75">
      <c r="A61" s="44"/>
      <c r="B61" s="44"/>
      <c r="C61" s="38" t="s">
        <v>33</v>
      </c>
      <c r="D61" s="38"/>
      <c r="E61" s="38"/>
      <c r="F61" s="38"/>
      <c r="G61" s="38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</row>
    <row r="62" spans="1:18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</row>
    <row r="63" spans="1:18" ht="15.75">
      <c r="A63" s="44"/>
      <c r="B63" s="44"/>
      <c r="C63" s="2" t="s">
        <v>35</v>
      </c>
      <c r="D63" s="1">
        <v>-2.8</v>
      </c>
      <c r="E63" s="6" t="s">
        <v>10</v>
      </c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</row>
    <row r="64" spans="1:18" ht="15.75">
      <c r="A64" s="44"/>
      <c r="B64" s="44"/>
      <c r="C64" s="2" t="s">
        <v>36</v>
      </c>
      <c r="D64" s="1">
        <v>0</v>
      </c>
      <c r="E64" s="38" t="s">
        <v>34</v>
      </c>
      <c r="F64" s="38"/>
      <c r="G64" s="39"/>
      <c r="H64" s="39"/>
      <c r="I64" s="39"/>
      <c r="J64" s="39"/>
      <c r="K64" s="39"/>
      <c r="L64" s="39"/>
      <c r="M64" s="39"/>
      <c r="N64" s="44"/>
      <c r="O64" s="44"/>
      <c r="P64" s="44"/>
      <c r="Q64" s="44"/>
      <c r="R64" s="44"/>
    </row>
    <row r="65" spans="1:18" ht="15.75">
      <c r="A65" s="44"/>
      <c r="B65" s="44"/>
      <c r="C65" s="2" t="s">
        <v>37</v>
      </c>
      <c r="D65" s="1">
        <v>0</v>
      </c>
      <c r="E65" s="38" t="s">
        <v>38</v>
      </c>
      <c r="F65" s="38"/>
      <c r="G65" s="39"/>
      <c r="H65" s="39"/>
      <c r="I65" s="39"/>
      <c r="J65" s="39"/>
      <c r="K65" s="39"/>
      <c r="L65" s="39"/>
      <c r="M65" s="39"/>
      <c r="N65" s="44"/>
      <c r="O65" s="44"/>
      <c r="P65" s="44"/>
      <c r="Q65" s="44"/>
      <c r="R65" s="44"/>
    </row>
    <row r="66" spans="1:18" ht="12.75">
      <c r="A66" s="44"/>
      <c r="B66" s="44"/>
      <c r="C66" s="44"/>
      <c r="D66" s="44"/>
      <c r="E66" s="44"/>
      <c r="F66" s="44"/>
      <c r="G66" s="39"/>
      <c r="H66" s="39"/>
      <c r="I66" s="39"/>
      <c r="J66" s="39"/>
      <c r="K66" s="39"/>
      <c r="L66" s="39"/>
      <c r="M66" s="39"/>
      <c r="N66" s="44"/>
      <c r="O66" s="44"/>
      <c r="P66" s="44"/>
      <c r="Q66" s="44"/>
      <c r="R66" s="44"/>
    </row>
    <row r="67" spans="1:18" ht="15.75">
      <c r="A67" s="44"/>
      <c r="B67" s="44"/>
      <c r="C67" s="2" t="s">
        <v>39</v>
      </c>
      <c r="D67" s="1">
        <v>0</v>
      </c>
      <c r="E67" s="6" t="s">
        <v>10</v>
      </c>
      <c r="F67" s="44"/>
      <c r="G67" s="39"/>
      <c r="H67" s="39"/>
      <c r="I67" s="39"/>
      <c r="J67" s="39"/>
      <c r="K67" s="39"/>
      <c r="L67" s="39"/>
      <c r="M67" s="39"/>
      <c r="N67" s="44"/>
      <c r="O67" s="44"/>
      <c r="P67" s="44"/>
      <c r="Q67" s="44"/>
      <c r="R67" s="44"/>
    </row>
    <row r="68" spans="1:18" ht="15.75">
      <c r="A68" s="44"/>
      <c r="B68" s="44"/>
      <c r="C68" s="2" t="s">
        <v>40</v>
      </c>
      <c r="D68" s="19">
        <f>C59</f>
        <v>1.7507043740108486</v>
      </c>
      <c r="E68" s="6" t="s">
        <v>41</v>
      </c>
      <c r="F68" s="44"/>
      <c r="G68" s="39"/>
      <c r="H68" s="39"/>
      <c r="I68" s="39"/>
      <c r="J68" s="39"/>
      <c r="K68" s="39"/>
      <c r="L68" s="39"/>
      <c r="M68" s="39"/>
      <c r="N68" s="44"/>
      <c r="O68" s="44"/>
      <c r="P68" s="44"/>
      <c r="Q68" s="44"/>
      <c r="R68" s="44"/>
    </row>
    <row r="69" spans="1:18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</row>
    <row r="70" spans="1:18" ht="12.75">
      <c r="A70" s="44"/>
      <c r="B70" s="44"/>
      <c r="C70" s="8" t="s">
        <v>43</v>
      </c>
      <c r="D70" s="19">
        <f>D28*L28</f>
        <v>9757.37</v>
      </c>
      <c r="E70" s="6" t="s">
        <v>42</v>
      </c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</row>
    <row r="71" spans="1:18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</row>
    <row r="72" spans="1:18" ht="12.75">
      <c r="A72" s="44"/>
      <c r="B72" s="44"/>
      <c r="C72" s="43" t="s">
        <v>44</v>
      </c>
      <c r="D72" s="1">
        <f>D70*((D63-D67)+D64+((D65-D68^2)/(2*L28))-E59)</f>
        <v>-45535.547062121914</v>
      </c>
      <c r="E72" s="62" t="s">
        <v>7</v>
      </c>
      <c r="F72" s="31">
        <v>0.25</v>
      </c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</row>
    <row r="73" spans="1:18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</row>
    <row r="74" spans="1:18" ht="12.75">
      <c r="A74" s="44"/>
      <c r="B74" s="44"/>
      <c r="C74" s="43" t="s">
        <v>45</v>
      </c>
      <c r="D74" s="18">
        <f>D72+H30</f>
        <v>52464.452937878086</v>
      </c>
      <c r="E74" s="62" t="s">
        <v>7</v>
      </c>
      <c r="F74" s="32">
        <v>0.25</v>
      </c>
      <c r="G74" s="54"/>
      <c r="H74" s="54"/>
      <c r="I74" s="54"/>
      <c r="J74" s="54"/>
      <c r="K74" s="54"/>
      <c r="L74" s="54"/>
      <c r="M74" s="63"/>
      <c r="N74" s="44"/>
      <c r="O74" s="44"/>
      <c r="P74" s="44"/>
      <c r="Q74" s="44"/>
      <c r="R74" s="44"/>
    </row>
    <row r="75" spans="1:18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60"/>
      <c r="P75" s="44"/>
      <c r="Q75" s="44"/>
      <c r="R75" s="44"/>
    </row>
    <row r="76" spans="1:18" ht="12.75">
      <c r="A76" s="43" t="s">
        <v>107</v>
      </c>
      <c r="B76" s="44"/>
      <c r="C76" s="38" t="s">
        <v>98</v>
      </c>
      <c r="D76" s="38"/>
      <c r="E76" s="38"/>
      <c r="F76" s="38"/>
      <c r="G76" s="38"/>
      <c r="H76" s="53"/>
      <c r="I76" s="54"/>
      <c r="J76" s="2" t="s">
        <v>31</v>
      </c>
      <c r="K76" s="28">
        <f>0.08/1000</f>
        <v>8E-05</v>
      </c>
      <c r="L76" s="17" t="s">
        <v>10</v>
      </c>
      <c r="M76" s="44"/>
      <c r="N76" s="44"/>
      <c r="O76" s="44"/>
      <c r="P76" s="44"/>
      <c r="Q76" s="44"/>
      <c r="R76" s="44"/>
    </row>
    <row r="77" spans="1:18" ht="12.75">
      <c r="A77" s="44"/>
      <c r="B77" s="44"/>
      <c r="C77" s="45"/>
      <c r="D77" s="46"/>
      <c r="E77" s="52"/>
      <c r="F77" s="44"/>
      <c r="G77" s="45"/>
      <c r="H77" s="53"/>
      <c r="I77" s="54"/>
      <c r="J77" s="44"/>
      <c r="K77" s="45"/>
      <c r="L77" s="55"/>
      <c r="M77" s="44"/>
      <c r="N77" s="44"/>
      <c r="O77" s="44"/>
      <c r="P77" s="44"/>
      <c r="Q77" s="44"/>
      <c r="R77" s="44"/>
    </row>
    <row r="78" spans="1:18" ht="15.75">
      <c r="A78" s="44"/>
      <c r="B78" s="44"/>
      <c r="C78" s="45"/>
      <c r="D78" s="45"/>
      <c r="E78" s="52"/>
      <c r="F78" s="2" t="s">
        <v>15</v>
      </c>
      <c r="G78" s="7">
        <v>150</v>
      </c>
      <c r="H78" s="15" t="s">
        <v>16</v>
      </c>
      <c r="I78" s="13"/>
      <c r="J78" s="2" t="s">
        <v>19</v>
      </c>
      <c r="K78" s="27">
        <f>(PI()*((G78/10)^2))/4</f>
        <v>176.71458676442586</v>
      </c>
      <c r="L78" s="17" t="s">
        <v>20</v>
      </c>
      <c r="M78" s="44"/>
      <c r="N78" s="44"/>
      <c r="O78" s="44"/>
      <c r="P78" s="44"/>
      <c r="Q78" s="44"/>
      <c r="R78" s="44"/>
    </row>
    <row r="79" spans="1:18" s="11" customFormat="1" ht="12.75">
      <c r="A79" s="44"/>
      <c r="B79" s="44"/>
      <c r="C79" s="45"/>
      <c r="D79" s="46"/>
      <c r="E79" s="52"/>
      <c r="F79" s="45"/>
      <c r="G79" s="45"/>
      <c r="H79" s="56"/>
      <c r="I79" s="54"/>
      <c r="J79" s="45"/>
      <c r="K79" s="45"/>
      <c r="L79" s="64"/>
      <c r="M79" s="44"/>
      <c r="N79" s="44"/>
      <c r="O79" s="44"/>
      <c r="P79" s="44"/>
      <c r="Q79" s="44"/>
      <c r="R79" s="44"/>
    </row>
    <row r="80" spans="1:18" s="11" customFormat="1" ht="15.75">
      <c r="A80" s="44"/>
      <c r="B80" s="44"/>
      <c r="C80" s="2" t="s">
        <v>50</v>
      </c>
      <c r="D80" s="7">
        <v>54</v>
      </c>
      <c r="E80" s="4" t="s">
        <v>10</v>
      </c>
      <c r="F80" s="45"/>
      <c r="G80" s="45"/>
      <c r="H80" s="56"/>
      <c r="I80" s="54"/>
      <c r="J80" s="45"/>
      <c r="K80" s="45"/>
      <c r="L80" s="64"/>
      <c r="M80" s="44"/>
      <c r="N80" s="44"/>
      <c r="O80" s="44"/>
      <c r="P80" s="44"/>
      <c r="Q80" s="44"/>
      <c r="R80" s="44"/>
    </row>
    <row r="81" spans="1:18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</row>
    <row r="82" spans="1:18" ht="12.75">
      <c r="A82" s="44"/>
      <c r="B82" s="44"/>
      <c r="C82" s="38" t="s">
        <v>46</v>
      </c>
      <c r="D82" s="38"/>
      <c r="E82" s="38"/>
      <c r="F82" s="38"/>
      <c r="G82" s="38"/>
      <c r="H82" s="44"/>
      <c r="I82" s="44"/>
      <c r="J82" s="65"/>
      <c r="K82" s="65"/>
      <c r="L82" s="65"/>
      <c r="M82" s="65"/>
      <c r="N82" s="65"/>
      <c r="O82" s="44"/>
      <c r="P82" s="44"/>
      <c r="Q82" s="44"/>
      <c r="R82" s="44"/>
    </row>
    <row r="83" spans="1:18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</row>
    <row r="84" spans="1:18" ht="12.75">
      <c r="A84" s="44"/>
      <c r="B84" s="44"/>
      <c r="C84" s="2" t="s">
        <v>12</v>
      </c>
      <c r="D84" s="1">
        <f>9*0.01</f>
        <v>0.09</v>
      </c>
      <c r="E84" s="6" t="s">
        <v>10</v>
      </c>
      <c r="F84" s="44"/>
      <c r="G84" s="44"/>
      <c r="H84" s="44"/>
      <c r="I84" s="44"/>
      <c r="J84" s="45"/>
      <c r="K84" s="64"/>
      <c r="L84" s="44"/>
      <c r="M84" s="44"/>
      <c r="N84" s="44"/>
      <c r="O84" s="44"/>
      <c r="P84" s="44"/>
      <c r="Q84" s="44"/>
      <c r="R84" s="44"/>
    </row>
    <row r="85" spans="1:18" ht="12.75">
      <c r="A85" s="44"/>
      <c r="B85" s="44"/>
      <c r="C85" s="2" t="s">
        <v>47</v>
      </c>
      <c r="D85" s="1">
        <f>6*0.01</f>
        <v>0.06</v>
      </c>
      <c r="E85" s="6" t="s">
        <v>10</v>
      </c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</row>
    <row r="86" spans="1:18" ht="15.75">
      <c r="A86" s="44"/>
      <c r="B86" s="44"/>
      <c r="C86" s="61" t="s">
        <v>114</v>
      </c>
      <c r="D86" s="1">
        <f>SUM(D84:D85)</f>
        <v>0.15</v>
      </c>
      <c r="E86" s="62" t="s">
        <v>10</v>
      </c>
      <c r="F86" s="31">
        <v>0.0625</v>
      </c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</row>
    <row r="87" spans="1:18" s="11" customFormat="1" ht="12.75">
      <c r="A87" s="44"/>
      <c r="B87" s="44"/>
      <c r="C87" s="57"/>
      <c r="D87" s="46"/>
      <c r="E87" s="54"/>
      <c r="F87" s="45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</row>
    <row r="88" spans="1:18" s="11" customFormat="1" ht="12.75">
      <c r="A88" s="44"/>
      <c r="B88" s="44"/>
      <c r="C88" s="38" t="s">
        <v>99</v>
      </c>
      <c r="D88" s="38"/>
      <c r="E88" s="38"/>
      <c r="F88" s="38"/>
      <c r="G88" s="38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</row>
    <row r="89" spans="1:18" s="11" customFormat="1" ht="12.75">
      <c r="A89" s="44"/>
      <c r="B89" s="44"/>
      <c r="C89" s="57"/>
      <c r="D89" s="46"/>
      <c r="E89" s="54"/>
      <c r="F89" s="45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</row>
    <row r="90" spans="1:18" ht="12.75">
      <c r="A90" s="44"/>
      <c r="B90" s="44"/>
      <c r="C90" s="2" t="s">
        <v>48</v>
      </c>
      <c r="D90" s="10">
        <v>3</v>
      </c>
      <c r="E90" s="5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</row>
    <row r="91" spans="1:18" ht="12.75">
      <c r="A91" s="44"/>
      <c r="B91" s="44"/>
      <c r="C91" s="2" t="s">
        <v>49</v>
      </c>
      <c r="D91" s="10">
        <v>5</v>
      </c>
      <c r="E91" s="5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</row>
    <row r="92" spans="1:18" ht="12.75">
      <c r="A92" s="44"/>
      <c r="B92" s="44"/>
      <c r="C92" s="2" t="s">
        <v>17</v>
      </c>
      <c r="D92" s="1">
        <v>0.6</v>
      </c>
      <c r="E92" s="5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</row>
    <row r="93" spans="1:18" ht="12.75">
      <c r="A93" s="44"/>
      <c r="B93" s="44"/>
      <c r="C93" s="2" t="s">
        <v>17</v>
      </c>
      <c r="D93" s="1">
        <v>0.6</v>
      </c>
      <c r="E93" s="5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</row>
    <row r="94" spans="1:18" s="11" customFormat="1" ht="12.75">
      <c r="A94" s="44"/>
      <c r="B94" s="44"/>
      <c r="C94" s="36" t="s">
        <v>100</v>
      </c>
      <c r="D94" s="14">
        <v>1</v>
      </c>
      <c r="E94" s="54"/>
      <c r="F94" s="45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</row>
    <row r="95" spans="1:18" s="11" customFormat="1" ht="15.75">
      <c r="A95" s="44"/>
      <c r="B95" s="44"/>
      <c r="C95" s="61" t="s">
        <v>115</v>
      </c>
      <c r="D95" s="14">
        <f>SUM(D90:D94)</f>
        <v>10.2</v>
      </c>
      <c r="E95" s="31">
        <v>0.0625</v>
      </c>
      <c r="F95" s="45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</row>
    <row r="96" spans="1:18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</row>
    <row r="97" spans="1:18" ht="12.75">
      <c r="A97" s="44"/>
      <c r="B97" s="44"/>
      <c r="C97" s="38" t="s">
        <v>51</v>
      </c>
      <c r="D97" s="38"/>
      <c r="E97" s="38"/>
      <c r="F97" s="38"/>
      <c r="G97" s="38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</row>
    <row r="98" spans="1:18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</row>
    <row r="99" spans="1:18" ht="12.75">
      <c r="A99" s="44"/>
      <c r="B99" s="39"/>
      <c r="C99" s="39"/>
      <c r="D99" s="39"/>
      <c r="E99" s="39"/>
      <c r="F99" s="39"/>
      <c r="G99" s="39"/>
      <c r="H99" s="39"/>
      <c r="I99" s="44"/>
      <c r="J99" s="39"/>
      <c r="K99" s="39"/>
      <c r="L99" s="39"/>
      <c r="M99" s="39"/>
      <c r="N99" s="39"/>
      <c r="O99" s="39"/>
      <c r="P99" s="39"/>
      <c r="Q99" s="39"/>
      <c r="R99" s="44"/>
    </row>
    <row r="100" spans="1:18" ht="12.75">
      <c r="A100" s="44"/>
      <c r="B100" s="39"/>
      <c r="C100" s="39"/>
      <c r="D100" s="39"/>
      <c r="E100" s="39"/>
      <c r="F100" s="39"/>
      <c r="G100" s="39"/>
      <c r="H100" s="39"/>
      <c r="I100" s="44"/>
      <c r="J100" s="39"/>
      <c r="K100" s="39"/>
      <c r="L100" s="39"/>
      <c r="M100" s="39"/>
      <c r="N100" s="39"/>
      <c r="O100" s="39"/>
      <c r="P100" s="39"/>
      <c r="Q100" s="39"/>
      <c r="R100" s="44"/>
    </row>
    <row r="101" spans="1:18" ht="12.75">
      <c r="A101" s="44"/>
      <c r="B101" s="39"/>
      <c r="C101" s="39"/>
      <c r="D101" s="39"/>
      <c r="E101" s="39"/>
      <c r="F101" s="39"/>
      <c r="G101" s="39"/>
      <c r="H101" s="39"/>
      <c r="I101" s="44"/>
      <c r="J101" s="39"/>
      <c r="K101" s="39"/>
      <c r="L101" s="39"/>
      <c r="M101" s="39"/>
      <c r="N101" s="39"/>
      <c r="O101" s="39"/>
      <c r="P101" s="39"/>
      <c r="Q101" s="39"/>
      <c r="R101" s="44"/>
    </row>
    <row r="102" spans="1:18" ht="12.75">
      <c r="A102" s="44"/>
      <c r="B102" s="39"/>
      <c r="C102" s="39"/>
      <c r="D102" s="39"/>
      <c r="E102" s="39"/>
      <c r="F102" s="39"/>
      <c r="G102" s="39"/>
      <c r="H102" s="39"/>
      <c r="I102" s="44"/>
      <c r="J102" s="39"/>
      <c r="K102" s="39"/>
      <c r="L102" s="39"/>
      <c r="M102" s="39"/>
      <c r="N102" s="39"/>
      <c r="O102" s="39"/>
      <c r="P102" s="39"/>
      <c r="Q102" s="39"/>
      <c r="R102" s="44"/>
    </row>
    <row r="103" spans="1:18" ht="12.75">
      <c r="A103" s="44"/>
      <c r="B103" s="39"/>
      <c r="C103" s="39"/>
      <c r="D103" s="39"/>
      <c r="E103" s="39"/>
      <c r="F103" s="39"/>
      <c r="G103" s="39"/>
      <c r="H103" s="39"/>
      <c r="I103" s="44"/>
      <c r="J103" s="39"/>
      <c r="K103" s="39"/>
      <c r="L103" s="39"/>
      <c r="M103" s="39"/>
      <c r="N103" s="39"/>
      <c r="O103" s="39"/>
      <c r="P103" s="39"/>
      <c r="Q103" s="39"/>
      <c r="R103" s="44"/>
    </row>
    <row r="104" spans="1:18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</row>
    <row r="105" spans="1:18" ht="15.75">
      <c r="A105" s="44"/>
      <c r="B105" s="44"/>
      <c r="C105" s="43" t="s">
        <v>116</v>
      </c>
      <c r="D105" s="43" t="s">
        <v>117</v>
      </c>
      <c r="E105" s="19">
        <f>(L30+D49)/((G36/1000)*2*L28*((K36/10000)^2))</f>
        <v>1462.9538250398766</v>
      </c>
      <c r="F105" s="43" t="s">
        <v>52</v>
      </c>
      <c r="G105" s="37">
        <f>D56/(2*L28*((K36/10000)^2))</f>
        <v>540.2073311543008</v>
      </c>
      <c r="H105" s="66" t="s">
        <v>53</v>
      </c>
      <c r="I105" s="31">
        <v>0.25</v>
      </c>
      <c r="J105" s="43" t="s">
        <v>118</v>
      </c>
      <c r="K105" s="43" t="s">
        <v>119</v>
      </c>
      <c r="L105" s="18">
        <f>(D80+D86)/((G78/1000)*2*L28*((K78/10000)^2))</f>
        <v>58980.212317273166</v>
      </c>
      <c r="M105" s="43" t="s">
        <v>52</v>
      </c>
      <c r="N105">
        <f>D95/(2*L28*((K78/10000)^2))</f>
        <v>1666.4769131196294</v>
      </c>
      <c r="O105" s="66" t="s">
        <v>53</v>
      </c>
      <c r="P105" s="31">
        <v>0.25</v>
      </c>
      <c r="Q105" s="44"/>
      <c r="R105" s="44"/>
    </row>
    <row r="106" spans="1:18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</row>
    <row r="107" spans="1:18" ht="12.75">
      <c r="A107" s="44"/>
      <c r="B107" s="44"/>
      <c r="C107" s="38" t="s">
        <v>54</v>
      </c>
      <c r="D107" s="38"/>
      <c r="E107" s="38"/>
      <c r="F107" s="38"/>
      <c r="G107" s="38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</row>
    <row r="108" spans="1:18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</row>
    <row r="109" spans="1:18" ht="15.75">
      <c r="A109" s="44"/>
      <c r="B109" s="44"/>
      <c r="C109" s="2" t="s">
        <v>55</v>
      </c>
      <c r="D109" s="1">
        <v>0</v>
      </c>
      <c r="E109" s="6" t="s">
        <v>10</v>
      </c>
      <c r="F109" s="44"/>
      <c r="G109" s="44"/>
      <c r="H109" s="2" t="s">
        <v>58</v>
      </c>
      <c r="I109" s="1">
        <v>55.8</v>
      </c>
      <c r="J109" s="6" t="s">
        <v>10</v>
      </c>
      <c r="K109" s="44"/>
      <c r="L109" s="44"/>
      <c r="M109" s="44"/>
      <c r="N109" s="44"/>
      <c r="O109" s="44"/>
      <c r="P109" s="44"/>
      <c r="Q109" s="44"/>
      <c r="R109" s="44"/>
    </row>
    <row r="110" spans="1:18" ht="15.75">
      <c r="A110" s="44"/>
      <c r="B110" s="44"/>
      <c r="C110" s="2" t="s">
        <v>56</v>
      </c>
      <c r="D110" s="1">
        <v>0</v>
      </c>
      <c r="E110" s="6" t="s">
        <v>10</v>
      </c>
      <c r="F110" s="44"/>
      <c r="G110" s="44"/>
      <c r="H110" s="2" t="s">
        <v>59</v>
      </c>
      <c r="I110" s="1">
        <v>0</v>
      </c>
      <c r="J110" s="6" t="s">
        <v>10</v>
      </c>
      <c r="K110" s="44"/>
      <c r="L110" s="44"/>
      <c r="M110" s="44"/>
      <c r="N110" s="44"/>
      <c r="O110" s="44"/>
      <c r="P110" s="44"/>
      <c r="Q110" s="44"/>
      <c r="R110" s="44"/>
    </row>
    <row r="111" spans="1:18" ht="15.75">
      <c r="A111" s="44"/>
      <c r="B111" s="44"/>
      <c r="C111" s="2" t="s">
        <v>57</v>
      </c>
      <c r="D111" s="1">
        <v>0</v>
      </c>
      <c r="E111" s="6" t="s">
        <v>10</v>
      </c>
      <c r="F111" s="44"/>
      <c r="G111" s="44"/>
      <c r="H111" s="2" t="s">
        <v>60</v>
      </c>
      <c r="I111" s="1">
        <v>0</v>
      </c>
      <c r="J111" s="6" t="s">
        <v>10</v>
      </c>
      <c r="K111" s="44"/>
      <c r="L111" s="44"/>
      <c r="M111" s="44"/>
      <c r="N111" s="44"/>
      <c r="O111" s="44"/>
      <c r="P111" s="44"/>
      <c r="Q111" s="44"/>
      <c r="R111" s="44"/>
    </row>
    <row r="112" spans="1:18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</row>
    <row r="113" spans="1:18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</row>
    <row r="114" spans="1:18" ht="12.75">
      <c r="A114" s="44"/>
      <c r="B114" s="41"/>
      <c r="C114" s="41"/>
      <c r="D114" s="41"/>
      <c r="E114" s="41"/>
      <c r="F114" s="41"/>
      <c r="G114" s="41"/>
      <c r="H114" s="41"/>
      <c r="I114" s="41"/>
      <c r="J114" s="41"/>
      <c r="K114" s="44"/>
      <c r="L114" s="44"/>
      <c r="M114" s="44"/>
      <c r="N114" s="44"/>
      <c r="O114" s="44"/>
      <c r="P114" s="44"/>
      <c r="Q114" s="44"/>
      <c r="R114" s="44"/>
    </row>
    <row r="115" spans="1:18" ht="12.75">
      <c r="A115" s="44"/>
      <c r="B115" s="41"/>
      <c r="C115" s="41"/>
      <c r="D115" s="41"/>
      <c r="E115" s="41"/>
      <c r="F115" s="41"/>
      <c r="G115" s="41"/>
      <c r="H115" s="41"/>
      <c r="I115" s="41"/>
      <c r="J115" s="41"/>
      <c r="K115" s="44"/>
      <c r="L115" s="44"/>
      <c r="M115" s="44"/>
      <c r="N115" s="44"/>
      <c r="O115" s="44"/>
      <c r="P115" s="44"/>
      <c r="Q115" s="44"/>
      <c r="R115" s="44"/>
    </row>
    <row r="116" spans="1:18" ht="12.75">
      <c r="A116" s="44"/>
      <c r="B116" s="41"/>
      <c r="C116" s="41"/>
      <c r="D116" s="41"/>
      <c r="E116" s="41"/>
      <c r="F116" s="41"/>
      <c r="G116" s="41"/>
      <c r="H116" s="41"/>
      <c r="I116" s="41"/>
      <c r="J116" s="41"/>
      <c r="K116" s="44"/>
      <c r="L116" s="44"/>
      <c r="M116" s="44"/>
      <c r="N116" s="44"/>
      <c r="O116" s="44"/>
      <c r="P116" s="44"/>
      <c r="Q116" s="44"/>
      <c r="R116" s="44"/>
    </row>
    <row r="117" spans="1:18" ht="12.75">
      <c r="A117" s="44"/>
      <c r="B117" s="41"/>
      <c r="C117" s="41"/>
      <c r="D117" s="41"/>
      <c r="E117" s="41"/>
      <c r="F117" s="41"/>
      <c r="G117" s="41"/>
      <c r="H117" s="41"/>
      <c r="I117" s="41"/>
      <c r="J117" s="41"/>
      <c r="K117" s="44"/>
      <c r="L117" s="44"/>
      <c r="M117" s="44"/>
      <c r="N117" s="44"/>
      <c r="O117" s="44"/>
      <c r="P117" s="44"/>
      <c r="Q117" s="44"/>
      <c r="R117" s="44"/>
    </row>
    <row r="118" spans="1:18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</row>
    <row r="119" spans="1:18" ht="15.75">
      <c r="A119" s="44"/>
      <c r="B119" s="44"/>
      <c r="C119" s="43" t="s">
        <v>61</v>
      </c>
      <c r="D119" s="1">
        <f>I109-D109</f>
        <v>55.8</v>
      </c>
      <c r="E119" s="43" t="s">
        <v>52</v>
      </c>
      <c r="F119" s="43" t="s">
        <v>120</v>
      </c>
      <c r="G119" s="19">
        <f>E105</f>
        <v>1462.9538250398766</v>
      </c>
      <c r="H119" s="62" t="s">
        <v>62</v>
      </c>
      <c r="I119" s="43" t="s">
        <v>121</v>
      </c>
      <c r="J119" s="18">
        <f>L105</f>
        <v>58980.212317273166</v>
      </c>
      <c r="K119" s="43" t="s">
        <v>102</v>
      </c>
      <c r="L119" s="19">
        <f>N105+G105</f>
        <v>2206.6842442739303</v>
      </c>
      <c r="M119" s="66" t="s">
        <v>101</v>
      </c>
      <c r="N119" s="31">
        <v>0.25</v>
      </c>
      <c r="O119" s="44"/>
      <c r="P119" s="44"/>
      <c r="Q119" s="44"/>
      <c r="R119" s="44"/>
    </row>
    <row r="120" spans="1:18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60"/>
      <c r="Q120" s="44"/>
      <c r="R120" s="44"/>
    </row>
    <row r="121" spans="1:18" ht="12.75">
      <c r="A121" s="43" t="s">
        <v>103</v>
      </c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</row>
    <row r="122" spans="1:18" ht="12.75">
      <c r="A122" s="44"/>
      <c r="B122" s="44"/>
      <c r="C122" s="2" t="s">
        <v>64</v>
      </c>
      <c r="D122" s="1">
        <f>F32</f>
        <v>198</v>
      </c>
      <c r="E122" s="6" t="s">
        <v>22</v>
      </c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</row>
    <row r="123" spans="1:18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</row>
    <row r="124" spans="1:18" ht="15.75">
      <c r="A124" s="44"/>
      <c r="B124" s="44"/>
      <c r="C124" s="2" t="s">
        <v>63</v>
      </c>
      <c r="D124" s="29">
        <f>'Swamee e Jain_aB'!I19</f>
        <v>0.017237157429391237</v>
      </c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</row>
    <row r="125" spans="1:18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</row>
    <row r="126" spans="1:18" ht="15.75">
      <c r="A126" s="44"/>
      <c r="B126" s="44"/>
      <c r="C126" s="43" t="s">
        <v>122</v>
      </c>
      <c r="D126" s="29">
        <f>'Swamee e Jain_dB'!I19</f>
        <v>0.0178419147520891</v>
      </c>
      <c r="E126" s="31">
        <v>0.25</v>
      </c>
      <c r="F126" s="44"/>
      <c r="G126" s="44"/>
      <c r="H126" s="44"/>
      <c r="I126" s="44"/>
      <c r="J126" s="44"/>
      <c r="K126" s="60"/>
      <c r="L126" s="44"/>
      <c r="M126" s="44"/>
      <c r="N126" s="44"/>
      <c r="O126" s="44"/>
      <c r="P126" s="44"/>
      <c r="Q126" s="44"/>
      <c r="R126" s="44"/>
    </row>
    <row r="127" spans="1:18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</row>
    <row r="128" spans="1:18" ht="15.75">
      <c r="A128" s="44"/>
      <c r="B128" s="44"/>
      <c r="C128" s="43" t="s">
        <v>123</v>
      </c>
      <c r="D128" s="33">
        <f>D119+D124*G119*((D122/3600)^2)+(D126*J119)*((D122/3600)^2)+L119*((D122/3600)^2)</f>
        <v>65.73476952292624</v>
      </c>
      <c r="E128" s="62" t="s">
        <v>10</v>
      </c>
      <c r="F128" s="31">
        <v>0.25</v>
      </c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</row>
    <row r="129" spans="1:18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</row>
    <row r="130" spans="1:18" ht="12.75">
      <c r="A130" s="43" t="s">
        <v>104</v>
      </c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</row>
    <row r="131" spans="1:18" ht="12.75">
      <c r="A131" s="44"/>
      <c r="B131" s="44"/>
      <c r="C131" s="38" t="s">
        <v>65</v>
      </c>
      <c r="D131" s="38"/>
      <c r="E131" s="38"/>
      <c r="F131" s="1">
        <v>1.1</v>
      </c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</row>
    <row r="132" spans="1:18" ht="15.75">
      <c r="A132" s="44"/>
      <c r="B132" s="44"/>
      <c r="C132" s="42" t="s">
        <v>66</v>
      </c>
      <c r="D132" s="42"/>
      <c r="E132" s="42"/>
      <c r="F132" s="10">
        <f>D122/F131</f>
        <v>179.99999999999997</v>
      </c>
      <c r="G132" s="62" t="s">
        <v>22</v>
      </c>
      <c r="H132" s="31">
        <v>0.125</v>
      </c>
      <c r="I132" s="44"/>
      <c r="J132" s="2" t="s">
        <v>23</v>
      </c>
      <c r="K132" s="44"/>
      <c r="L132" s="44"/>
      <c r="M132" s="44"/>
      <c r="N132" s="44"/>
      <c r="O132" s="44"/>
      <c r="P132" s="44"/>
      <c r="Q132" s="44"/>
      <c r="R132" s="44"/>
    </row>
    <row r="133" spans="1:18" ht="12.75">
      <c r="A133" s="44"/>
      <c r="B133" s="44"/>
      <c r="C133" s="42" t="s">
        <v>67</v>
      </c>
      <c r="D133" s="42"/>
      <c r="E133" s="42"/>
      <c r="F133" s="10">
        <f>F132*1.2</f>
        <v>215.99999999999997</v>
      </c>
      <c r="G133" s="62" t="s">
        <v>22</v>
      </c>
      <c r="H133" s="31">
        <v>0.125</v>
      </c>
      <c r="I133" s="44"/>
      <c r="J133" s="19">
        <f>(F133/3600)/(K36/10000)</f>
        <v>1.9098593171027436</v>
      </c>
      <c r="K133" s="44"/>
      <c r="L133" s="44"/>
      <c r="M133" s="44"/>
      <c r="N133" s="44"/>
      <c r="O133" s="44"/>
      <c r="P133" s="44"/>
      <c r="Q133" s="44"/>
      <c r="R133" s="44"/>
    </row>
    <row r="134" spans="1:18" ht="15.75">
      <c r="A134" s="44"/>
      <c r="B134" s="44"/>
      <c r="C134" s="44"/>
      <c r="D134" s="44"/>
      <c r="E134" s="2" t="s">
        <v>63</v>
      </c>
      <c r="F134" s="29">
        <f>'Swamee e Jain_aB'!I20</f>
        <v>0.017145912996232984</v>
      </c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</row>
    <row r="135" spans="1:18" ht="15.75">
      <c r="A135" s="44"/>
      <c r="B135" s="44"/>
      <c r="C135" s="44"/>
      <c r="D135" s="44"/>
      <c r="E135" s="43" t="s">
        <v>116</v>
      </c>
      <c r="F135" s="19">
        <f>(F134*(L30+D49)*(J133^2))/((G36/1000)*2*L28)+((D56*(J133^2))/(2*L28))</f>
        <v>2.0350476365613863</v>
      </c>
      <c r="G135" s="62" t="s">
        <v>10</v>
      </c>
      <c r="H135" s="31">
        <v>0.25</v>
      </c>
      <c r="I135" s="44"/>
      <c r="J135" s="44"/>
      <c r="K135" s="44"/>
      <c r="L135" s="44"/>
      <c r="M135" s="44"/>
      <c r="N135" s="44"/>
      <c r="O135" s="44"/>
      <c r="P135" s="44"/>
      <c r="Q135" s="44"/>
      <c r="R135" s="44"/>
    </row>
    <row r="136" spans="1:18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</row>
    <row r="137" spans="1:18" ht="12.75">
      <c r="A137" s="44"/>
      <c r="B137" s="44"/>
      <c r="C137" s="39"/>
      <c r="D137" s="39"/>
      <c r="E137" s="39"/>
      <c r="F137" s="39"/>
      <c r="G137" s="39"/>
      <c r="H137" s="39"/>
      <c r="I137" s="39"/>
      <c r="J137" s="44"/>
      <c r="K137" s="44"/>
      <c r="L137" s="44"/>
      <c r="M137" s="44"/>
      <c r="N137" s="44"/>
      <c r="O137" s="44"/>
      <c r="P137" s="44"/>
      <c r="Q137" s="44"/>
      <c r="R137" s="44"/>
    </row>
    <row r="138" spans="1:18" ht="12.75">
      <c r="A138" s="44"/>
      <c r="B138" s="44"/>
      <c r="C138" s="39"/>
      <c r="D138" s="39"/>
      <c r="E138" s="39"/>
      <c r="F138" s="39"/>
      <c r="G138" s="39"/>
      <c r="H138" s="39"/>
      <c r="I138" s="39"/>
      <c r="J138" s="44"/>
      <c r="K138" s="44"/>
      <c r="L138" s="44"/>
      <c r="M138" s="44"/>
      <c r="N138" s="44"/>
      <c r="O138" s="44"/>
      <c r="P138" s="44"/>
      <c r="Q138" s="44"/>
      <c r="R138" s="44"/>
    </row>
    <row r="139" spans="1:18" ht="12.75">
      <c r="A139" s="44"/>
      <c r="B139" s="44"/>
      <c r="C139" s="39"/>
      <c r="D139" s="39"/>
      <c r="E139" s="39"/>
      <c r="F139" s="39"/>
      <c r="G139" s="39"/>
      <c r="H139" s="39"/>
      <c r="I139" s="39"/>
      <c r="J139" s="44"/>
      <c r="K139" s="44"/>
      <c r="L139" s="44"/>
      <c r="M139" s="44"/>
      <c r="N139" s="44"/>
      <c r="O139" s="44"/>
      <c r="P139" s="44"/>
      <c r="Q139" s="44"/>
      <c r="R139" s="44"/>
    </row>
    <row r="140" spans="1:18" ht="12.75">
      <c r="A140" s="44"/>
      <c r="B140" s="44"/>
      <c r="C140" s="39"/>
      <c r="D140" s="39"/>
      <c r="E140" s="39"/>
      <c r="F140" s="39"/>
      <c r="G140" s="39"/>
      <c r="H140" s="39"/>
      <c r="I140" s="39"/>
      <c r="J140" s="44"/>
      <c r="K140" s="44"/>
      <c r="L140" s="44"/>
      <c r="M140" s="44"/>
      <c r="N140" s="44"/>
      <c r="O140" s="44"/>
      <c r="P140" s="44"/>
      <c r="Q140" s="44"/>
      <c r="R140" s="44"/>
    </row>
    <row r="141" spans="1:18" ht="12.75">
      <c r="A141" s="44"/>
      <c r="B141" s="44"/>
      <c r="C141" s="39"/>
      <c r="D141" s="39"/>
      <c r="E141" s="39"/>
      <c r="F141" s="39"/>
      <c r="G141" s="39"/>
      <c r="H141" s="39"/>
      <c r="I141" s="39"/>
      <c r="J141" s="44"/>
      <c r="K141" s="44"/>
      <c r="L141" s="44"/>
      <c r="M141" s="44"/>
      <c r="N141" s="44"/>
      <c r="O141" s="44"/>
      <c r="P141" s="44"/>
      <c r="Q141" s="44"/>
      <c r="R141" s="44"/>
    </row>
    <row r="142" spans="1:18" ht="12.75">
      <c r="A142" s="44"/>
      <c r="B142" s="44"/>
      <c r="C142" s="39"/>
      <c r="D142" s="39"/>
      <c r="E142" s="39"/>
      <c r="F142" s="39"/>
      <c r="G142" s="39"/>
      <c r="H142" s="39"/>
      <c r="I142" s="39"/>
      <c r="J142" s="44"/>
      <c r="K142" s="44"/>
      <c r="L142" s="44"/>
      <c r="M142" s="44"/>
      <c r="N142" s="44"/>
      <c r="O142" s="44"/>
      <c r="P142" s="44"/>
      <c r="Q142" s="44"/>
      <c r="R142" s="44"/>
    </row>
    <row r="143" spans="1:18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</row>
    <row r="144" spans="1:18" ht="12.75">
      <c r="A144" s="44"/>
      <c r="B144" s="44"/>
      <c r="C144" s="44"/>
      <c r="D144" s="44"/>
      <c r="E144" s="6" t="s">
        <v>68</v>
      </c>
      <c r="F144" s="19">
        <f>D63+((H30-D30)/D70)-F135</f>
        <v>4.773945360526968</v>
      </c>
      <c r="G144" s="6" t="s">
        <v>10</v>
      </c>
      <c r="H144" s="31">
        <v>0.25</v>
      </c>
      <c r="I144" s="44"/>
      <c r="J144" s="44"/>
      <c r="K144" s="44"/>
      <c r="L144" s="44"/>
      <c r="M144" s="44"/>
      <c r="N144" s="44"/>
      <c r="O144" s="44"/>
      <c r="P144" s="44"/>
      <c r="Q144" s="44"/>
      <c r="R144" s="44"/>
    </row>
    <row r="145" spans="1:18" ht="12.75">
      <c r="A145" s="44"/>
      <c r="B145" s="44"/>
      <c r="C145" s="44"/>
      <c r="D145" s="44"/>
      <c r="E145" s="44"/>
      <c r="F145" s="44"/>
      <c r="G145" s="44"/>
      <c r="H145" s="44"/>
      <c r="I145" s="44"/>
      <c r="J145" s="60"/>
      <c r="K145" s="44"/>
      <c r="L145" s="44"/>
      <c r="M145" s="44"/>
      <c r="N145" s="44"/>
      <c r="O145" s="44"/>
      <c r="P145" s="44"/>
      <c r="Q145" s="44"/>
      <c r="R145" s="44"/>
    </row>
    <row r="146" spans="1:18" ht="12.75">
      <c r="A146" s="43" t="s">
        <v>105</v>
      </c>
      <c r="B146" s="38" t="s">
        <v>71</v>
      </c>
      <c r="C146" s="38"/>
      <c r="D146" s="38"/>
      <c r="E146" s="38"/>
      <c r="F146" s="1">
        <v>75</v>
      </c>
      <c r="G146" s="6" t="s">
        <v>72</v>
      </c>
      <c r="H146" s="44"/>
      <c r="I146" s="2" t="s">
        <v>79</v>
      </c>
      <c r="J146" s="1">
        <v>16</v>
      </c>
      <c r="K146" s="6" t="s">
        <v>80</v>
      </c>
      <c r="L146" s="1">
        <v>30</v>
      </c>
      <c r="M146" s="6" t="s">
        <v>81</v>
      </c>
      <c r="N146" s="44"/>
      <c r="O146" s="44"/>
      <c r="P146" s="44"/>
      <c r="Q146" s="44"/>
      <c r="R146" s="44"/>
    </row>
    <row r="147" spans="1:18" ht="15.75">
      <c r="A147" s="44"/>
      <c r="B147" s="44"/>
      <c r="C147" s="44"/>
      <c r="D147" s="44"/>
      <c r="E147" s="43" t="s">
        <v>122</v>
      </c>
      <c r="F147" s="29">
        <f>'Swamee e Jain_dB'!I20</f>
        <v>0.017778235690128073</v>
      </c>
      <c r="G147" s="31">
        <v>0.125</v>
      </c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</row>
    <row r="148" spans="1:18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</row>
    <row r="149" spans="1:18" ht="12.75">
      <c r="A149" s="44"/>
      <c r="B149" s="42" t="s">
        <v>69</v>
      </c>
      <c r="C149" s="42"/>
      <c r="D149" s="42"/>
      <c r="E149" s="42"/>
      <c r="F149" s="10">
        <f>D119+G119*D124*((F133/3600)^2)+(J119)*F147*((F133/3600)^2)+L119*((F133/3600)^2)</f>
        <v>67.60967589107405</v>
      </c>
      <c r="G149" s="62" t="s">
        <v>10</v>
      </c>
      <c r="H149" s="31">
        <v>0.125</v>
      </c>
      <c r="I149" s="44"/>
      <c r="J149" s="44"/>
      <c r="K149" s="44"/>
      <c r="L149" s="44"/>
      <c r="M149" s="44"/>
      <c r="N149" s="44"/>
      <c r="O149" s="44"/>
      <c r="P149" s="44"/>
      <c r="Q149" s="44"/>
      <c r="R149" s="44"/>
    </row>
    <row r="150" spans="1:18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</row>
    <row r="151" spans="1:18" ht="12.75">
      <c r="A151" s="44"/>
      <c r="B151" s="44"/>
      <c r="C151" s="44"/>
      <c r="D151" s="42" t="s">
        <v>70</v>
      </c>
      <c r="E151" s="42"/>
      <c r="F151" s="10">
        <f>(D70*(F133/3600)*F149)/(F146/100)</f>
        <v>52775.40985994312</v>
      </c>
      <c r="G151" s="62" t="s">
        <v>73</v>
      </c>
      <c r="H151" s="31">
        <v>0.125</v>
      </c>
      <c r="I151" s="44"/>
      <c r="J151" s="67"/>
      <c r="K151" s="44"/>
      <c r="L151" s="44"/>
      <c r="M151" s="44"/>
      <c r="N151" s="44"/>
      <c r="O151" s="44"/>
      <c r="P151" s="44"/>
      <c r="Q151" s="44"/>
      <c r="R151" s="44"/>
    </row>
    <row r="152" spans="1:18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</row>
    <row r="153" spans="1:18" ht="12.75">
      <c r="A153" s="44"/>
      <c r="B153" s="42" t="s">
        <v>74</v>
      </c>
      <c r="C153" s="42"/>
      <c r="D153" s="42"/>
      <c r="E153" s="42"/>
      <c r="F153" s="10">
        <f>(F151/0.9)/(75*9.8)</f>
        <v>79.78142080112339</v>
      </c>
      <c r="G153" s="62" t="s">
        <v>75</v>
      </c>
      <c r="H153" s="31">
        <v>0.125</v>
      </c>
      <c r="I153" s="44"/>
      <c r="J153" s="44"/>
      <c r="K153" s="44"/>
      <c r="L153" s="44"/>
      <c r="M153" s="44"/>
      <c r="N153" s="44"/>
      <c r="O153" s="44"/>
      <c r="P153" s="44"/>
      <c r="Q153" s="44"/>
      <c r="R153" s="44"/>
    </row>
    <row r="154" spans="1:18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</row>
    <row r="155" spans="1:18" ht="12.75">
      <c r="A155" s="44"/>
      <c r="B155" s="42" t="s">
        <v>76</v>
      </c>
      <c r="C155" s="42"/>
      <c r="D155" s="42"/>
      <c r="E155" s="42"/>
      <c r="F155" s="1">
        <v>100</v>
      </c>
      <c r="G155" s="62" t="s">
        <v>75</v>
      </c>
      <c r="H155" s="31">
        <v>0.25</v>
      </c>
      <c r="I155" s="44"/>
      <c r="J155" s="44"/>
      <c r="K155" s="44"/>
      <c r="L155" s="59"/>
      <c r="M155" s="44"/>
      <c r="N155" s="44"/>
      <c r="O155" s="44"/>
      <c r="P155" s="44"/>
      <c r="Q155" s="44"/>
      <c r="R155" s="44"/>
    </row>
    <row r="156" spans="1:18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</row>
    <row r="157" spans="1:18" ht="12.75">
      <c r="A157" s="44"/>
      <c r="B157" s="42" t="s">
        <v>77</v>
      </c>
      <c r="C157" s="42"/>
      <c r="D157" s="42"/>
      <c r="E157" s="42"/>
      <c r="F157" s="10">
        <f>((F151/(75*9.8))/F155)*100</f>
        <v>71.80327872101105</v>
      </c>
      <c r="G157" s="62" t="s">
        <v>72</v>
      </c>
      <c r="H157" s="31">
        <v>0.125</v>
      </c>
      <c r="I157" s="44"/>
      <c r="J157" s="44"/>
      <c r="K157" s="44"/>
      <c r="L157" s="44"/>
      <c r="M157" s="44"/>
      <c r="N157" s="44"/>
      <c r="O157" s="44"/>
      <c r="P157" s="44"/>
      <c r="Q157" s="44"/>
      <c r="R157" s="44"/>
    </row>
    <row r="158" spans="1:18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</row>
    <row r="159" spans="1:18" ht="12.75">
      <c r="A159" s="44"/>
      <c r="B159" s="44"/>
      <c r="C159" s="42" t="s">
        <v>78</v>
      </c>
      <c r="D159" s="42"/>
      <c r="E159" s="42"/>
      <c r="F159" s="1">
        <f>(F155*75*9.8/1000)*J146*L146</f>
        <v>35280</v>
      </c>
      <c r="G159" s="62" t="s">
        <v>82</v>
      </c>
      <c r="H159" s="31">
        <v>0.25</v>
      </c>
      <c r="I159" s="44"/>
      <c r="J159" s="44"/>
      <c r="K159" s="44"/>
      <c r="L159" s="44"/>
      <c r="M159" s="44"/>
      <c r="N159" s="44"/>
      <c r="O159" s="44"/>
      <c r="P159" s="44"/>
      <c r="Q159" s="44"/>
      <c r="R159" s="44"/>
    </row>
    <row r="160" spans="1:18" ht="12.7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</row>
  </sheetData>
  <mergeCells count="36">
    <mergeCell ref="B21:K23"/>
    <mergeCell ref="A1:F1"/>
    <mergeCell ref="B3:N3"/>
    <mergeCell ref="B4:K10"/>
    <mergeCell ref="G12:J12"/>
    <mergeCell ref="B14:K15"/>
    <mergeCell ref="B17:K19"/>
    <mergeCell ref="C51:G51"/>
    <mergeCell ref="G53:M56"/>
    <mergeCell ref="B25:K26"/>
    <mergeCell ref="C46:G46"/>
    <mergeCell ref="C34:G34"/>
    <mergeCell ref="C61:G61"/>
    <mergeCell ref="E64:F64"/>
    <mergeCell ref="E65:F65"/>
    <mergeCell ref="G64:M68"/>
    <mergeCell ref="C76:G76"/>
    <mergeCell ref="C82:G82"/>
    <mergeCell ref="C97:G97"/>
    <mergeCell ref="B99:H103"/>
    <mergeCell ref="J99:Q103"/>
    <mergeCell ref="J82:N82"/>
    <mergeCell ref="C107:G107"/>
    <mergeCell ref="B114:J117"/>
    <mergeCell ref="C88:G88"/>
    <mergeCell ref="B146:E146"/>
    <mergeCell ref="B153:E153"/>
    <mergeCell ref="C131:E131"/>
    <mergeCell ref="C132:E132"/>
    <mergeCell ref="C133:E133"/>
    <mergeCell ref="C137:I142"/>
    <mergeCell ref="B155:E155"/>
    <mergeCell ref="B157:E157"/>
    <mergeCell ref="C159:E159"/>
    <mergeCell ref="B149:E149"/>
    <mergeCell ref="D151:E151"/>
  </mergeCells>
  <printOptions/>
  <pageMargins left="0.75" right="0.75" top="1" bottom="1" header="0.5" footer="0.5"/>
  <pageSetup orientation="portrait" r:id="rId9"/>
  <drawing r:id="rId8"/>
  <legacyDrawing r:id="rId7"/>
  <oleObjects>
    <oleObject progId="Equation.3" shapeId="3095079" r:id="rId1"/>
    <oleObject progId="Equation.3" shapeId="3151842" r:id="rId2"/>
    <oleObject progId="Equation.3" shapeId="3243283" r:id="rId3"/>
    <oleObject progId="Equation.3" shapeId="3357392" r:id="rId4"/>
    <oleObject progId="Equation.3" shapeId="3508115" r:id="rId5"/>
    <oleObject progId="Equation.3" shapeId="690852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A21" sqref="A21"/>
    </sheetView>
  </sheetViews>
  <sheetFormatPr defaultColWidth="9.140625" defaultRowHeight="12.75"/>
  <cols>
    <col min="4" max="4" width="11.421875" style="0" bestFit="1" customWidth="1"/>
    <col min="7" max="7" width="12.421875" style="0" bestFit="1" customWidth="1"/>
    <col min="8" max="8" width="14.421875" style="0" customWidth="1"/>
  </cols>
  <sheetData>
    <row r="2" spans="2:8" ht="12.75">
      <c r="B2" s="39"/>
      <c r="C2" s="39"/>
      <c r="D2" s="39"/>
      <c r="E2" s="39"/>
      <c r="F2" s="39"/>
      <c r="G2" s="39"/>
      <c r="H2" s="39"/>
    </row>
    <row r="3" spans="2:8" ht="12.75">
      <c r="B3" s="39"/>
      <c r="C3" s="39"/>
      <c r="D3" s="39"/>
      <c r="E3" s="39"/>
      <c r="F3" s="39"/>
      <c r="G3" s="39"/>
      <c r="H3" s="39"/>
    </row>
    <row r="4" spans="2:8" ht="12.75">
      <c r="B4" s="39"/>
      <c r="C4" s="39"/>
      <c r="D4" s="39"/>
      <c r="E4" s="39"/>
      <c r="F4" s="39"/>
      <c r="G4" s="39"/>
      <c r="H4" s="39"/>
    </row>
    <row r="5" spans="2:8" ht="12.75">
      <c r="B5" s="39"/>
      <c r="C5" s="39"/>
      <c r="D5" s="39"/>
      <c r="E5" s="39"/>
      <c r="F5" s="39"/>
      <c r="G5" s="39"/>
      <c r="H5" s="39"/>
    </row>
    <row r="6" spans="2:8" ht="12.75">
      <c r="B6" s="39"/>
      <c r="C6" s="39"/>
      <c r="D6" s="39"/>
      <c r="E6" s="39"/>
      <c r="F6" s="39"/>
      <c r="G6" s="39"/>
      <c r="H6" s="39"/>
    </row>
    <row r="7" spans="2:8" ht="12.75">
      <c r="B7" s="39"/>
      <c r="C7" s="39"/>
      <c r="D7" s="39"/>
      <c r="E7" s="39"/>
      <c r="F7" s="39"/>
      <c r="G7" s="39"/>
      <c r="H7" s="39"/>
    </row>
    <row r="8" spans="2:8" ht="12.75">
      <c r="B8" s="39"/>
      <c r="C8" s="39"/>
      <c r="D8" s="39"/>
      <c r="E8" s="39"/>
      <c r="F8" s="39"/>
      <c r="G8" s="39"/>
      <c r="H8" s="39"/>
    </row>
    <row r="9" spans="2:8" ht="12.75">
      <c r="B9" s="39"/>
      <c r="C9" s="39"/>
      <c r="D9" s="39"/>
      <c r="E9" s="39"/>
      <c r="F9" s="39"/>
      <c r="G9" s="39"/>
      <c r="H9" s="39"/>
    </row>
    <row r="10" spans="2:8" ht="12.75">
      <c r="B10" s="39"/>
      <c r="C10" s="39"/>
      <c r="D10" s="39"/>
      <c r="E10" s="39"/>
      <c r="F10" s="39"/>
      <c r="G10" s="39"/>
      <c r="H10" s="39"/>
    </row>
    <row r="11" spans="2:8" ht="12.75">
      <c r="B11" s="39"/>
      <c r="C11" s="39"/>
      <c r="D11" s="39"/>
      <c r="E11" s="39"/>
      <c r="F11" s="39"/>
      <c r="G11" s="39"/>
      <c r="H11" s="39"/>
    </row>
    <row r="12" spans="2:8" ht="12.75">
      <c r="B12" s="39"/>
      <c r="C12" s="39"/>
      <c r="D12" s="39"/>
      <c r="E12" s="39"/>
      <c r="F12" s="39"/>
      <c r="G12" s="39"/>
      <c r="H12" s="39"/>
    </row>
    <row r="13" spans="2:8" ht="12.75">
      <c r="B13" s="39"/>
      <c r="C13" s="39"/>
      <c r="D13" s="39"/>
      <c r="E13" s="39"/>
      <c r="F13" s="39"/>
      <c r="G13" s="39"/>
      <c r="H13" s="39"/>
    </row>
    <row r="14" spans="2:8" ht="12.75">
      <c r="B14" s="39"/>
      <c r="C14" s="39"/>
      <c r="D14" s="39"/>
      <c r="E14" s="39"/>
      <c r="F14" s="39"/>
      <c r="G14" s="39"/>
      <c r="H14" s="39"/>
    </row>
    <row r="15" spans="2:8" ht="12.75">
      <c r="B15" s="39"/>
      <c r="C15" s="39"/>
      <c r="D15" s="39"/>
      <c r="E15" s="39"/>
      <c r="F15" s="39"/>
      <c r="G15" s="39"/>
      <c r="H15" s="39"/>
    </row>
    <row r="18" spans="1:11" ht="15">
      <c r="A18" s="1" t="s">
        <v>24</v>
      </c>
      <c r="B18" s="12" t="s">
        <v>25</v>
      </c>
      <c r="C18" s="12" t="s">
        <v>26</v>
      </c>
      <c r="D18" s="1" t="s">
        <v>27</v>
      </c>
      <c r="E18" s="1" t="s">
        <v>28</v>
      </c>
      <c r="F18" s="1" t="s">
        <v>29</v>
      </c>
      <c r="G18" s="1" t="s">
        <v>30</v>
      </c>
      <c r="H18" s="34" t="s">
        <v>84</v>
      </c>
      <c r="I18" s="20" t="s">
        <v>85</v>
      </c>
      <c r="J18" s="35"/>
      <c r="K18" s="35"/>
    </row>
    <row r="19" spans="1:9" ht="12.75">
      <c r="A19" s="21">
        <f>Solução_TB!F32</f>
        <v>198</v>
      </c>
      <c r="B19" s="22">
        <f>(A19/3600)/(Solução_TB!$K$36/10000)</f>
        <v>1.7507043740108486</v>
      </c>
      <c r="C19" s="23">
        <f>(Solução_TB!$D$28*'Swamee e Jain_aB'!B19*(Solução_TB!$G$36/1000))/Solução_TB!$H$28</f>
        <v>442408.32740708155</v>
      </c>
      <c r="D19" s="26">
        <f>(64/C19)^8</f>
        <v>1.9180213956078765E-31</v>
      </c>
      <c r="E19" s="21">
        <f>Solução_TB!$K$34/(3.7*(Solução_TB!$G$36/1000))</f>
        <v>0.00010810810810810811</v>
      </c>
      <c r="F19" s="21">
        <f>5.74/(C19^0.9)</f>
        <v>4.76070124733941E-05</v>
      </c>
      <c r="G19" s="26">
        <f>(2500/C19)^6</f>
        <v>3.25611918909712E-14</v>
      </c>
      <c r="H19" s="25">
        <f>LN(E19+F19)-G19</f>
        <v>-8.76748237027822</v>
      </c>
      <c r="I19" s="25">
        <f>(D19+9.5*(H19^-16))^0.125</f>
        <v>0.017237157429391237</v>
      </c>
    </row>
    <row r="20" spans="1:9" ht="12.75">
      <c r="A20" s="3">
        <f>Solução_TB!F133</f>
        <v>215.99999999999997</v>
      </c>
      <c r="B20" s="22">
        <f>(A20/3600)/(Solução_TB!$K$36/10000)</f>
        <v>1.9098593171027436</v>
      </c>
      <c r="C20" s="23">
        <f>(Solução_TB!$D$28*'Swamee e Jain_aB'!B20*(Solução_TB!$G$36/1000))/Solução_TB!$H$28</f>
        <v>482627.26626227074</v>
      </c>
      <c r="D20" s="26">
        <f>(64/C20)^8</f>
        <v>9.561916796024806E-32</v>
      </c>
      <c r="E20" s="21">
        <f>Solução_TB!$K$34/(3.7*(Solução_TB!$G$36/1000))</f>
        <v>0.00010810810810810811</v>
      </c>
      <c r="F20" s="21">
        <f>5.74/(C20^0.9)</f>
        <v>4.4021133787882124E-05</v>
      </c>
      <c r="G20" s="26">
        <f>(2500/C20)^6</f>
        <v>1.9318300991418856E-14</v>
      </c>
      <c r="H20" s="25">
        <f>LN(E20+F20)-G20</f>
        <v>-8.79078012276605</v>
      </c>
      <c r="I20" s="25">
        <f>(D20+9.5*(H20^-16))^0.125</f>
        <v>0.017145912996232984</v>
      </c>
    </row>
  </sheetData>
  <mergeCells count="1">
    <mergeCell ref="B2:H15"/>
  </mergeCells>
  <printOptions/>
  <pageMargins left="0.75" right="0.75" top="1" bottom="1" header="0.5" footer="0.5"/>
  <pageSetup orientation="portrait" r:id="rId3"/>
  <legacyDrawing r:id="rId2"/>
  <oleObjects>
    <oleObject progId="Equation.3" shapeId="19374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K20"/>
  <sheetViews>
    <sheetView workbookViewId="0" topLeftCell="A1">
      <selection activeCell="E22" sqref="E22"/>
    </sheetView>
  </sheetViews>
  <sheetFormatPr defaultColWidth="9.140625" defaultRowHeight="12.75"/>
  <sheetData>
    <row r="2" spans="2:8" ht="12.75">
      <c r="B2" s="39"/>
      <c r="C2" s="39"/>
      <c r="D2" s="39"/>
      <c r="E2" s="39"/>
      <c r="F2" s="39"/>
      <c r="G2" s="39"/>
      <c r="H2" s="39"/>
    </row>
    <row r="3" spans="2:8" ht="12.75">
      <c r="B3" s="39"/>
      <c r="C3" s="39"/>
      <c r="D3" s="39"/>
      <c r="E3" s="39"/>
      <c r="F3" s="39"/>
      <c r="G3" s="39"/>
      <c r="H3" s="39"/>
    </row>
    <row r="4" spans="2:8" ht="12.75">
      <c r="B4" s="39"/>
      <c r="C4" s="39"/>
      <c r="D4" s="39"/>
      <c r="E4" s="39"/>
      <c r="F4" s="39"/>
      <c r="G4" s="39"/>
      <c r="H4" s="39"/>
    </row>
    <row r="5" spans="2:8" ht="12.75">
      <c r="B5" s="39"/>
      <c r="C5" s="39"/>
      <c r="D5" s="39"/>
      <c r="E5" s="39"/>
      <c r="F5" s="39"/>
      <c r="G5" s="39"/>
      <c r="H5" s="39"/>
    </row>
    <row r="6" spans="2:8" ht="12.75">
      <c r="B6" s="39"/>
      <c r="C6" s="39"/>
      <c r="D6" s="39"/>
      <c r="E6" s="39"/>
      <c r="F6" s="39"/>
      <c r="G6" s="39"/>
      <c r="H6" s="39"/>
    </row>
    <row r="7" spans="2:8" ht="12.75">
      <c r="B7" s="39"/>
      <c r="C7" s="39"/>
      <c r="D7" s="39"/>
      <c r="E7" s="39"/>
      <c r="F7" s="39"/>
      <c r="G7" s="39"/>
      <c r="H7" s="39"/>
    </row>
    <row r="8" spans="2:8" ht="12.75">
      <c r="B8" s="39"/>
      <c r="C8" s="39"/>
      <c r="D8" s="39"/>
      <c r="E8" s="39"/>
      <c r="F8" s="39"/>
      <c r="G8" s="39"/>
      <c r="H8" s="39"/>
    </row>
    <row r="9" spans="2:8" ht="12.75">
      <c r="B9" s="39"/>
      <c r="C9" s="39"/>
      <c r="D9" s="39"/>
      <c r="E9" s="39"/>
      <c r="F9" s="39"/>
      <c r="G9" s="39"/>
      <c r="H9" s="39"/>
    </row>
    <row r="10" spans="2:8" ht="12.75">
      <c r="B10" s="39"/>
      <c r="C10" s="39"/>
      <c r="D10" s="39"/>
      <c r="E10" s="39"/>
      <c r="F10" s="39"/>
      <c r="G10" s="39"/>
      <c r="H10" s="39"/>
    </row>
    <row r="11" spans="2:8" ht="12.75">
      <c r="B11" s="39"/>
      <c r="C11" s="39"/>
      <c r="D11" s="39"/>
      <c r="E11" s="39"/>
      <c r="F11" s="39"/>
      <c r="G11" s="39"/>
      <c r="H11" s="39"/>
    </row>
    <row r="12" spans="2:8" ht="12.75">
      <c r="B12" s="39"/>
      <c r="C12" s="39"/>
      <c r="D12" s="39"/>
      <c r="E12" s="39"/>
      <c r="F12" s="39"/>
      <c r="G12" s="39"/>
      <c r="H12" s="39"/>
    </row>
    <row r="13" spans="2:8" ht="12.75">
      <c r="B13" s="39"/>
      <c r="C13" s="39"/>
      <c r="D13" s="39"/>
      <c r="E13" s="39"/>
      <c r="F13" s="39"/>
      <c r="G13" s="39"/>
      <c r="H13" s="39"/>
    </row>
    <row r="14" spans="2:8" ht="12.75">
      <c r="B14" s="39"/>
      <c r="C14" s="39"/>
      <c r="D14" s="39"/>
      <c r="E14" s="39"/>
      <c r="F14" s="39"/>
      <c r="G14" s="39"/>
      <c r="H14" s="39"/>
    </row>
    <row r="15" spans="2:8" ht="12.75">
      <c r="B15" s="39"/>
      <c r="C15" s="39"/>
      <c r="D15" s="39"/>
      <c r="E15" s="39"/>
      <c r="F15" s="39"/>
      <c r="G15" s="39"/>
      <c r="H15" s="39"/>
    </row>
    <row r="18" spans="1:11" ht="15">
      <c r="A18" s="1" t="s">
        <v>24</v>
      </c>
      <c r="B18" s="12" t="s">
        <v>25</v>
      </c>
      <c r="C18" s="12" t="s">
        <v>26</v>
      </c>
      <c r="D18" s="1" t="s">
        <v>27</v>
      </c>
      <c r="E18" s="1" t="s">
        <v>28</v>
      </c>
      <c r="F18" s="1" t="s">
        <v>29</v>
      </c>
      <c r="G18" s="1" t="s">
        <v>30</v>
      </c>
      <c r="H18" s="34" t="s">
        <v>84</v>
      </c>
      <c r="I18" s="20" t="s">
        <v>32</v>
      </c>
      <c r="J18" s="35"/>
      <c r="K18" s="35"/>
    </row>
    <row r="19" spans="1:9" ht="12.75">
      <c r="A19" s="21">
        <f>Solução_TB!D122</f>
        <v>198</v>
      </c>
      <c r="B19" s="22">
        <f>(A19/3600)/(Solução_TB!$K$78/10000)</f>
        <v>3.112363331574842</v>
      </c>
      <c r="C19" s="23">
        <f>(Solução_TB!$D$28*'Swamee e Jain_dB'!B19*(Solução_TB!$G$78/1000))/Solução_TB!$H$28</f>
        <v>589877.7698761087</v>
      </c>
      <c r="D19" s="26">
        <f>(64/C19)^8</f>
        <v>1.9201871302159534E-32</v>
      </c>
      <c r="E19" s="21">
        <f>Solução_TB!$K$76/(3.7*(Solução_TB!$G$78/1000))</f>
        <v>0.00014414414414414415</v>
      </c>
      <c r="F19" s="21">
        <f>5.74/(C19^0.9)</f>
        <v>3.6747353374671036E-05</v>
      </c>
      <c r="G19" s="26">
        <f>(2500/C19)^6</f>
        <v>5.795192599735836E-15</v>
      </c>
      <c r="H19" s="25">
        <f>LN(E19+F19)-G19</f>
        <v>-8.617613167669186</v>
      </c>
      <c r="I19" s="25">
        <f>(D19+9.5*(H19^-16))^0.125</f>
        <v>0.0178419147520891</v>
      </c>
    </row>
    <row r="20" spans="1:9" ht="12.75">
      <c r="A20" s="3">
        <f>Solução_TB!F133</f>
        <v>215.99999999999997</v>
      </c>
      <c r="B20" s="22">
        <f>(A20/3600)/(Solução_TB!$K$78/10000)</f>
        <v>3.3953054526271</v>
      </c>
      <c r="C20" s="23">
        <f>(Solução_TB!$D$28*'Swamee e Jain_dB'!B20*(Solução_TB!$G$78/1000))/Solução_TB!$H$28</f>
        <v>643503.0216830276</v>
      </c>
      <c r="D20" s="26">
        <f>(64/C20)^8</f>
        <v>9.572713638110162E-33</v>
      </c>
      <c r="E20" s="21">
        <f>Solução_TB!$K$76/(3.7*(Solução_TB!$G$78/1000))</f>
        <v>0.00014414414414414415</v>
      </c>
      <c r="F20" s="21">
        <f>5.74/(C20^0.9)</f>
        <v>3.3979451244940625E-05</v>
      </c>
      <c r="G20" s="26">
        <f>(2500/C20)^6</f>
        <v>3.4382425348496955E-15</v>
      </c>
      <c r="H20" s="25">
        <f>LN(E20+F20)-G20</f>
        <v>-8.633032892507416</v>
      </c>
      <c r="I20" s="25">
        <f>(D20+9.5*(H20^-16))^0.125</f>
        <v>0.017778235690128073</v>
      </c>
    </row>
  </sheetData>
  <mergeCells count="1">
    <mergeCell ref="B2:H15"/>
  </mergeCells>
  <printOptions/>
  <pageMargins left="0.75" right="0.75" top="1" bottom="1" header="0.5" footer="0.5"/>
  <pageSetup orientation="portrait" paperSize="9"/>
  <legacyDrawing r:id="rId2"/>
  <oleObjects>
    <oleObject progId="Equation.3" shapeId="220505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22" sqref="B22"/>
    </sheetView>
  </sheetViews>
  <sheetFormatPr defaultColWidth="9.140625" defaultRowHeight="12.75"/>
  <cols>
    <col min="5" max="5" width="12.421875" style="0" bestFit="1" customWidth="1"/>
  </cols>
  <sheetData>
    <row r="1" spans="1:9" ht="12.75">
      <c r="A1" s="39"/>
      <c r="B1" s="39"/>
      <c r="C1" s="39"/>
      <c r="D1" s="39"/>
      <c r="E1" s="39"/>
      <c r="F1" s="39"/>
      <c r="G1" s="39"/>
      <c r="H1" s="39"/>
      <c r="I1" s="39"/>
    </row>
    <row r="2" spans="1:9" ht="12.75">
      <c r="A2" s="39"/>
      <c r="B2" s="39"/>
      <c r="C2" s="39"/>
      <c r="D2" s="39"/>
      <c r="E2" s="39"/>
      <c r="F2" s="39"/>
      <c r="G2" s="39"/>
      <c r="H2" s="39"/>
      <c r="I2" s="39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spans="1:9" ht="12.75">
      <c r="A4" s="39"/>
      <c r="B4" s="39"/>
      <c r="C4" s="39"/>
      <c r="D4" s="39"/>
      <c r="E4" s="39"/>
      <c r="F4" s="39"/>
      <c r="G4" s="39"/>
      <c r="H4" s="39"/>
      <c r="I4" s="39"/>
    </row>
    <row r="5" spans="1:9" ht="12.75">
      <c r="A5" s="39"/>
      <c r="B5" s="39"/>
      <c r="C5" s="39"/>
      <c r="D5" s="39"/>
      <c r="E5" s="39"/>
      <c r="F5" s="39"/>
      <c r="G5" s="39"/>
      <c r="H5" s="39"/>
      <c r="I5" s="39"/>
    </row>
    <row r="6" spans="1:9" ht="12.75">
      <c r="A6" s="39"/>
      <c r="B6" s="39"/>
      <c r="C6" s="39"/>
      <c r="D6" s="39"/>
      <c r="E6" s="39"/>
      <c r="F6" s="39"/>
      <c r="G6" s="39"/>
      <c r="H6" s="39"/>
      <c r="I6" s="39"/>
    </row>
    <row r="7" spans="1:9" ht="12.75">
      <c r="A7" s="39"/>
      <c r="B7" s="39"/>
      <c r="C7" s="39"/>
      <c r="D7" s="39"/>
      <c r="E7" s="39"/>
      <c r="F7" s="39"/>
      <c r="G7" s="39"/>
      <c r="H7" s="39"/>
      <c r="I7" s="39"/>
    </row>
    <row r="8" spans="1:9" ht="12.75">
      <c r="A8" s="39"/>
      <c r="B8" s="39"/>
      <c r="C8" s="39"/>
      <c r="D8" s="39"/>
      <c r="E8" s="39"/>
      <c r="F8" s="39"/>
      <c r="G8" s="39"/>
      <c r="H8" s="39"/>
      <c r="I8" s="39"/>
    </row>
    <row r="9" spans="1:9" ht="12.75">
      <c r="A9" s="39"/>
      <c r="B9" s="39"/>
      <c r="C9" s="39"/>
      <c r="D9" s="39"/>
      <c r="E9" s="39"/>
      <c r="F9" s="39"/>
      <c r="G9" s="39"/>
      <c r="H9" s="39"/>
      <c r="I9" s="39"/>
    </row>
    <row r="10" spans="1:9" ht="12.75">
      <c r="A10" s="39"/>
      <c r="B10" s="39"/>
      <c r="C10" s="39"/>
      <c r="D10" s="39"/>
      <c r="E10" s="39"/>
      <c r="F10" s="39"/>
      <c r="G10" s="39"/>
      <c r="H10" s="39"/>
      <c r="I10" s="39"/>
    </row>
    <row r="11" spans="1:9" ht="12.75">
      <c r="A11" s="39"/>
      <c r="B11" s="39"/>
      <c r="C11" s="39"/>
      <c r="D11" s="39"/>
      <c r="E11" s="39"/>
      <c r="F11" s="39"/>
      <c r="G11" s="39"/>
      <c r="H11" s="39"/>
      <c r="I11" s="39"/>
    </row>
    <row r="12" spans="1:9" ht="12.75">
      <c r="A12" s="39"/>
      <c r="B12" s="39"/>
      <c r="C12" s="39"/>
      <c r="D12" s="39"/>
      <c r="E12" s="39"/>
      <c r="F12" s="39"/>
      <c r="G12" s="39"/>
      <c r="H12" s="39"/>
      <c r="I12" s="39"/>
    </row>
    <row r="13" spans="1:9" ht="12.75">
      <c r="A13" s="39"/>
      <c r="B13" s="39"/>
      <c r="C13" s="39"/>
      <c r="D13" s="39"/>
      <c r="E13" s="39"/>
      <c r="F13" s="39"/>
      <c r="G13" s="39"/>
      <c r="H13" s="39"/>
      <c r="I13" s="39"/>
    </row>
    <row r="14" spans="1:9" ht="12.75">
      <c r="A14" s="39"/>
      <c r="B14" s="39"/>
      <c r="C14" s="39"/>
      <c r="D14" s="39"/>
      <c r="E14" s="39"/>
      <c r="F14" s="39"/>
      <c r="G14" s="39"/>
      <c r="H14" s="39"/>
      <c r="I14" s="39"/>
    </row>
    <row r="15" spans="1:9" ht="12.75">
      <c r="A15" s="39"/>
      <c r="B15" s="39"/>
      <c r="C15" s="39"/>
      <c r="D15" s="39"/>
      <c r="E15" s="39"/>
      <c r="F15" s="39"/>
      <c r="G15" s="39"/>
      <c r="H15" s="39"/>
      <c r="I15" s="39"/>
    </row>
    <row r="16" spans="1:9" ht="12.75">
      <c r="A16" s="39"/>
      <c r="B16" s="39"/>
      <c r="C16" s="39"/>
      <c r="D16" s="39"/>
      <c r="E16" s="39"/>
      <c r="F16" s="39"/>
      <c r="G16" s="39"/>
      <c r="H16" s="39"/>
      <c r="I16" s="39"/>
    </row>
    <row r="17" spans="1:9" ht="12.75">
      <c r="A17" s="39"/>
      <c r="B17" s="39"/>
      <c r="C17" s="39"/>
      <c r="D17" s="39"/>
      <c r="E17" s="39"/>
      <c r="F17" s="39"/>
      <c r="G17" s="39"/>
      <c r="H17" s="39"/>
      <c r="I17" s="39"/>
    </row>
    <row r="18" spans="1:9" ht="12.75">
      <c r="A18" s="39"/>
      <c r="B18" s="39"/>
      <c r="C18" s="39"/>
      <c r="D18" s="39"/>
      <c r="E18" s="39"/>
      <c r="F18" s="39"/>
      <c r="G18" s="39"/>
      <c r="H18" s="39"/>
      <c r="I18" s="39"/>
    </row>
    <row r="20" spans="2:9" ht="15">
      <c r="B20" s="1" t="s">
        <v>24</v>
      </c>
      <c r="C20" s="12" t="s">
        <v>25</v>
      </c>
      <c r="D20" s="12" t="s">
        <v>26</v>
      </c>
      <c r="E20" s="1" t="s">
        <v>27</v>
      </c>
      <c r="F20" s="1" t="s">
        <v>28</v>
      </c>
      <c r="G20" s="1" t="s">
        <v>29</v>
      </c>
      <c r="H20" s="1" t="s">
        <v>30</v>
      </c>
      <c r="I20" s="20" t="s">
        <v>85</v>
      </c>
    </row>
    <row r="21" spans="2:9" ht="12.75">
      <c r="B21" s="21">
        <f>Solução_TB!F32</f>
        <v>198</v>
      </c>
      <c r="C21" s="22">
        <f>(B21/3600)/(Solução_TB!$K$36/10000)</f>
        <v>1.7507043740108486</v>
      </c>
      <c r="D21" s="23">
        <f>(Solução_TB!$D$28*C21*(Solução_TB!$G$36/1000))/Solução_TB!$H$28</f>
        <v>442408.32740708155</v>
      </c>
      <c r="E21" s="26">
        <f>6.9/D21</f>
        <v>1.5596451451174815E-05</v>
      </c>
      <c r="F21" s="21">
        <f>((Solução_TB!$K$34/(Solução_TB!$G$36/1000)/3.7))</f>
        <v>0.00010810810810810811</v>
      </c>
      <c r="G21" s="21">
        <f>E21+(F21)^(10/9)</f>
        <v>5.478650460465093E-05</v>
      </c>
      <c r="H21" s="24">
        <f>LOG(G21)</f>
        <v>-4.2613264067990295</v>
      </c>
      <c r="I21" s="25">
        <f>(1/(-1.8*H21))^2</f>
        <v>0.016996730454367354</v>
      </c>
    </row>
    <row r="22" spans="2:9" ht="12.75">
      <c r="B22" s="16">
        <f>Solução_TB!F133</f>
        <v>215.99999999999997</v>
      </c>
      <c r="C22" s="22">
        <f>(B22/3600)/(Solução_TB!$K$36/10000)</f>
        <v>1.9098593171027436</v>
      </c>
      <c r="D22" s="23">
        <f>(Solução_TB!$D$28*C22*(Solução_TB!$G$36/1000))/Solução_TB!$H$28</f>
        <v>482627.26626227074</v>
      </c>
      <c r="E22" s="26">
        <f>6.9/D22</f>
        <v>1.4296747163576916E-05</v>
      </c>
      <c r="F22" s="21">
        <f>((Solução_TB!$K$34/(Solução_TB!$G$36/1000)/3.7))</f>
        <v>0.00010810810810810811</v>
      </c>
      <c r="G22" s="21">
        <f>E22+(F22)^(10/9)</f>
        <v>5.3486800317053036E-05</v>
      </c>
      <c r="H22" s="24">
        <f>LOG(G22)</f>
        <v>-4.271753381656512</v>
      </c>
      <c r="I22" s="25">
        <f>(1/(-1.8*H22))^2</f>
        <v>0.016913856669017308</v>
      </c>
    </row>
  </sheetData>
  <mergeCells count="1">
    <mergeCell ref="A1:I18"/>
  </mergeCells>
  <printOptions/>
  <pageMargins left="0.75" right="0.75" top="1" bottom="1" header="0.5" footer="0.5"/>
  <pageSetup orientation="portrait" r:id="rId3"/>
  <legacyDrawing r:id="rId2"/>
  <oleObjects>
    <oleObject progId="Equation.3" shapeId="304795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B22" sqref="B22"/>
    </sheetView>
  </sheetViews>
  <sheetFormatPr defaultColWidth="9.140625" defaultRowHeight="12.75"/>
  <sheetData>
    <row r="1" spans="1:9" ht="12.75">
      <c r="A1" s="39"/>
      <c r="B1" s="39"/>
      <c r="C1" s="39"/>
      <c r="D1" s="39"/>
      <c r="E1" s="39"/>
      <c r="F1" s="39"/>
      <c r="G1" s="39"/>
      <c r="H1" s="39"/>
      <c r="I1" s="39"/>
    </row>
    <row r="2" spans="1:9" ht="12.75">
      <c r="A2" s="39"/>
      <c r="B2" s="39"/>
      <c r="C2" s="39"/>
      <c r="D2" s="39"/>
      <c r="E2" s="39"/>
      <c r="F2" s="39"/>
      <c r="G2" s="39"/>
      <c r="H2" s="39"/>
      <c r="I2" s="39"/>
    </row>
    <row r="3" spans="1:9" ht="12.75">
      <c r="A3" s="39"/>
      <c r="B3" s="39"/>
      <c r="C3" s="39"/>
      <c r="D3" s="39"/>
      <c r="E3" s="39"/>
      <c r="F3" s="39"/>
      <c r="G3" s="39"/>
      <c r="H3" s="39"/>
      <c r="I3" s="39"/>
    </row>
    <row r="4" spans="1:9" ht="12.75">
      <c r="A4" s="39"/>
      <c r="B4" s="39"/>
      <c r="C4" s="39"/>
      <c r="D4" s="39"/>
      <c r="E4" s="39"/>
      <c r="F4" s="39"/>
      <c r="G4" s="39"/>
      <c r="H4" s="39"/>
      <c r="I4" s="39"/>
    </row>
    <row r="5" spans="1:9" ht="12.75">
      <c r="A5" s="39"/>
      <c r="B5" s="39"/>
      <c r="C5" s="39"/>
      <c r="D5" s="39"/>
      <c r="E5" s="39"/>
      <c r="F5" s="39"/>
      <c r="G5" s="39"/>
      <c r="H5" s="39"/>
      <c r="I5" s="39"/>
    </row>
    <row r="6" spans="1:9" ht="12.75">
      <c r="A6" s="39"/>
      <c r="B6" s="39"/>
      <c r="C6" s="39"/>
      <c r="D6" s="39"/>
      <c r="E6" s="39"/>
      <c r="F6" s="39"/>
      <c r="G6" s="39"/>
      <c r="H6" s="39"/>
      <c r="I6" s="39"/>
    </row>
    <row r="7" spans="1:9" ht="12.75">
      <c r="A7" s="39"/>
      <c r="B7" s="39"/>
      <c r="C7" s="39"/>
      <c r="D7" s="39"/>
      <c r="E7" s="39"/>
      <c r="F7" s="39"/>
      <c r="G7" s="39"/>
      <c r="H7" s="39"/>
      <c r="I7" s="39"/>
    </row>
    <row r="8" spans="1:9" ht="12.75">
      <c r="A8" s="39"/>
      <c r="B8" s="39"/>
      <c r="C8" s="39"/>
      <c r="D8" s="39"/>
      <c r="E8" s="39"/>
      <c r="F8" s="39"/>
      <c r="G8" s="39"/>
      <c r="H8" s="39"/>
      <c r="I8" s="39"/>
    </row>
    <row r="9" spans="1:9" ht="12.75">
      <c r="A9" s="39"/>
      <c r="B9" s="39"/>
      <c r="C9" s="39"/>
      <c r="D9" s="39"/>
      <c r="E9" s="39"/>
      <c r="F9" s="39"/>
      <c r="G9" s="39"/>
      <c r="H9" s="39"/>
      <c r="I9" s="39"/>
    </row>
    <row r="10" spans="1:9" ht="12.75">
      <c r="A10" s="39"/>
      <c r="B10" s="39"/>
      <c r="C10" s="39"/>
      <c r="D10" s="39"/>
      <c r="E10" s="39"/>
      <c r="F10" s="39"/>
      <c r="G10" s="39"/>
      <c r="H10" s="39"/>
      <c r="I10" s="39"/>
    </row>
    <row r="11" spans="1:9" ht="12.75">
      <c r="A11" s="39"/>
      <c r="B11" s="39"/>
      <c r="C11" s="39"/>
      <c r="D11" s="39"/>
      <c r="E11" s="39"/>
      <c r="F11" s="39"/>
      <c r="G11" s="39"/>
      <c r="H11" s="39"/>
      <c r="I11" s="39"/>
    </row>
    <row r="12" spans="1:9" ht="12.75">
      <c r="A12" s="39"/>
      <c r="B12" s="39"/>
      <c r="C12" s="39"/>
      <c r="D12" s="39"/>
      <c r="E12" s="39"/>
      <c r="F12" s="39"/>
      <c r="G12" s="39"/>
      <c r="H12" s="39"/>
      <c r="I12" s="39"/>
    </row>
    <row r="13" spans="1:9" ht="12.75">
      <c r="A13" s="39"/>
      <c r="B13" s="39"/>
      <c r="C13" s="39"/>
      <c r="D13" s="39"/>
      <c r="E13" s="39"/>
      <c r="F13" s="39"/>
      <c r="G13" s="39"/>
      <c r="H13" s="39"/>
      <c r="I13" s="39"/>
    </row>
    <row r="14" spans="1:9" ht="12.75">
      <c r="A14" s="39"/>
      <c r="B14" s="39"/>
      <c r="C14" s="39"/>
      <c r="D14" s="39"/>
      <c r="E14" s="39"/>
      <c r="F14" s="39"/>
      <c r="G14" s="39"/>
      <c r="H14" s="39"/>
      <c r="I14" s="39"/>
    </row>
    <row r="15" spans="1:9" ht="12.75">
      <c r="A15" s="39"/>
      <c r="B15" s="39"/>
      <c r="C15" s="39"/>
      <c r="D15" s="39"/>
      <c r="E15" s="39"/>
      <c r="F15" s="39"/>
      <c r="G15" s="39"/>
      <c r="H15" s="39"/>
      <c r="I15" s="39"/>
    </row>
    <row r="16" spans="1:9" ht="12.75">
      <c r="A16" s="39"/>
      <c r="B16" s="39"/>
      <c r="C16" s="39"/>
      <c r="D16" s="39"/>
      <c r="E16" s="39"/>
      <c r="F16" s="39"/>
      <c r="G16" s="39"/>
      <c r="H16" s="39"/>
      <c r="I16" s="39"/>
    </row>
    <row r="17" spans="1:9" ht="12.75">
      <c r="A17" s="39"/>
      <c r="B17" s="39"/>
      <c r="C17" s="39"/>
      <c r="D17" s="39"/>
      <c r="E17" s="39"/>
      <c r="F17" s="39"/>
      <c r="G17" s="39"/>
      <c r="H17" s="39"/>
      <c r="I17" s="39"/>
    </row>
    <row r="18" spans="1:9" ht="12.75">
      <c r="A18" s="39"/>
      <c r="B18" s="39"/>
      <c r="C18" s="39"/>
      <c r="D18" s="39"/>
      <c r="E18" s="39"/>
      <c r="F18" s="39"/>
      <c r="G18" s="39"/>
      <c r="H18" s="39"/>
      <c r="I18" s="39"/>
    </row>
    <row r="20" spans="2:9" ht="15">
      <c r="B20" s="1" t="s">
        <v>24</v>
      </c>
      <c r="C20" s="12" t="s">
        <v>25</v>
      </c>
      <c r="D20" s="12" t="s">
        <v>26</v>
      </c>
      <c r="E20" s="1" t="s">
        <v>27</v>
      </c>
      <c r="F20" s="1" t="s">
        <v>28</v>
      </c>
      <c r="G20" s="1" t="s">
        <v>29</v>
      </c>
      <c r="H20" s="1" t="s">
        <v>30</v>
      </c>
      <c r="I20" s="20" t="s">
        <v>32</v>
      </c>
    </row>
    <row r="21" spans="2:9" ht="12.75">
      <c r="B21" s="21">
        <f>Solução_TB!F32</f>
        <v>198</v>
      </c>
      <c r="C21" s="22">
        <f>(B21/3600)/(Solução_TB!$K$78/10000)</f>
        <v>3.112363331574842</v>
      </c>
      <c r="D21" s="23">
        <f>(Solução_TB!$D$28*C21*(Solução_TB!$G$78/1000))/Solução_TB!$H$28</f>
        <v>589877.7698761087</v>
      </c>
      <c r="E21" s="26">
        <f>6.9/D21</f>
        <v>1.1697338588381113E-05</v>
      </c>
      <c r="F21" s="21">
        <f>((Solução_TB!$K$34/(Solução_TB!$G$78/1000)/3.7))</f>
        <v>0.00014414414414414415</v>
      </c>
      <c r="G21" s="21">
        <f>E21+(F21)^(10/9)</f>
        <v>6.564798728584783E-05</v>
      </c>
      <c r="H21" s="24">
        <f>LOG(G21)</f>
        <v>-4.1827785844876715</v>
      </c>
      <c r="I21" s="25">
        <f>(1/(-1.8*H21))^2</f>
        <v>0.017641082792982626</v>
      </c>
    </row>
    <row r="22" spans="2:9" ht="12.75">
      <c r="B22" s="16">
        <f>Solução_TB!F133</f>
        <v>215.99999999999997</v>
      </c>
      <c r="C22" s="22">
        <f>(B22/3600)/(Solução_TB!$K$78/10000)</f>
        <v>3.3953054526271</v>
      </c>
      <c r="D22" s="23">
        <f>(Solução_TB!$D$28*C22*(Solução_TB!$G$78/1000))/Solução_TB!$H$28</f>
        <v>643503.0216830276</v>
      </c>
      <c r="E22" s="26">
        <f>6.9/D22</f>
        <v>1.0722560372682688E-05</v>
      </c>
      <c r="F22" s="21">
        <f>((Solução_TB!$K$34/(Solução_TB!$G$78/1000)/3.7))</f>
        <v>0.00014414414414414415</v>
      </c>
      <c r="G22" s="21">
        <f>E22+(F22)^(10/9)</f>
        <v>6.467320907014941E-05</v>
      </c>
      <c r="H22" s="24">
        <f>LOG(G22)</f>
        <v>-4.189275588923298</v>
      </c>
      <c r="I22" s="25">
        <f>(1/(-1.8*H22))^2</f>
        <v>0.017586407317423468</v>
      </c>
    </row>
  </sheetData>
  <mergeCells count="1">
    <mergeCell ref="A1:I18"/>
  </mergeCells>
  <printOptions/>
  <pageMargins left="0.75" right="0.75" top="1" bottom="1" header="0.5" footer="0.5"/>
  <pageSetup orientation="portrait" paperSize="9"/>
  <legacyDrawing r:id="rId2"/>
  <oleObjects>
    <oleObject progId="Equation.3" shapeId="339511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2008-09-21T21:15:03Z</dcterms:created>
  <dcterms:modified xsi:type="dcterms:W3CDTF">2008-10-11T13:50:37Z</dcterms:modified>
  <cp:category/>
  <cp:version/>
  <cp:contentType/>
  <cp:contentStatus/>
</cp:coreProperties>
</file>