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0"/>
  </bookViews>
  <sheets>
    <sheet name="Dados e resoluções" sheetId="1" r:id="rId1"/>
    <sheet name="dados da B e CCIs e pto trabalh" sheetId="2" r:id="rId2"/>
    <sheet name="curvas características" sheetId="3" r:id="rId3"/>
    <sheet name="det f 3&quot;" sheetId="4" r:id="rId4"/>
    <sheet name="det f 2&quot;" sheetId="5" r:id="rId5"/>
    <sheet name="det f 1,5&quot;" sheetId="6" r:id="rId6"/>
  </sheets>
  <definedNames/>
  <calcPr fullCalcOnLoad="1"/>
</workbook>
</file>

<file path=xl/sharedStrings.xml><?xml version="1.0" encoding="utf-8"?>
<sst xmlns="http://schemas.openxmlformats.org/spreadsheetml/2006/main" count="643" uniqueCount="275">
  <si>
    <t>bomba ETA 40-16 3420 rpm e diâmetro do rotor igual a 140 mm</t>
  </si>
  <si>
    <t>Q(m³/h)</t>
  </si>
  <si>
    <t>HB(m)</t>
  </si>
  <si>
    <r>
      <t>h</t>
    </r>
    <r>
      <rPr>
        <sz val="10"/>
        <rFont val="Arial"/>
        <family val="0"/>
      </rPr>
      <t>B(%)</t>
    </r>
  </si>
  <si>
    <t>Hs(m)</t>
  </si>
  <si>
    <t>NPSHr(m)</t>
  </si>
  <si>
    <t>Cálculo do coeficiente de perda de carga distribuída para o escoamento laminar e para regime hidraulicamente rugoso (neste caso método iterativo)</t>
  </si>
  <si>
    <t>DH</t>
  </si>
  <si>
    <t>m</t>
  </si>
  <si>
    <t>n</t>
  </si>
  <si>
    <t>m²/s</t>
  </si>
  <si>
    <t>K</t>
  </si>
  <si>
    <t>Xo</t>
  </si>
  <si>
    <t>-</t>
  </si>
  <si>
    <t>F</t>
  </si>
  <si>
    <t>ensaios</t>
  </si>
  <si>
    <t>Q (m³/s)</t>
  </si>
  <si>
    <t>Re</t>
  </si>
  <si>
    <t>f</t>
  </si>
  <si>
    <t>A1</t>
  </si>
  <si>
    <t>X1</t>
  </si>
  <si>
    <t>Xo-X1</t>
  </si>
  <si>
    <t>f1</t>
  </si>
  <si>
    <t>A2</t>
  </si>
  <si>
    <t>X2</t>
  </si>
  <si>
    <t>X1-X2</t>
  </si>
  <si>
    <t>f2</t>
  </si>
  <si>
    <t>A3</t>
  </si>
  <si>
    <t>X3</t>
  </si>
  <si>
    <t>X2-X3</t>
  </si>
  <si>
    <t>f3</t>
  </si>
  <si>
    <t>A4</t>
  </si>
  <si>
    <t>X4</t>
  </si>
  <si>
    <t>X3-X4</t>
  </si>
  <si>
    <t>f4</t>
  </si>
  <si>
    <t>A5</t>
  </si>
  <si>
    <t>X5</t>
  </si>
  <si>
    <t>X4-X5</t>
  </si>
  <si>
    <t>f5</t>
  </si>
  <si>
    <t>A6</t>
  </si>
  <si>
    <t>X6</t>
  </si>
  <si>
    <t>X5-X6</t>
  </si>
  <si>
    <t>f6</t>
  </si>
  <si>
    <t>A7</t>
  </si>
  <si>
    <t>X7</t>
  </si>
  <si>
    <t>X6-X7</t>
  </si>
  <si>
    <t>f7</t>
  </si>
  <si>
    <t>valor</t>
  </si>
  <si>
    <t>Q (l/s)</t>
  </si>
  <si>
    <t>f 3"</t>
  </si>
  <si>
    <t>f 2"</t>
  </si>
  <si>
    <t>Hs (m)</t>
  </si>
  <si>
    <t>Hsa (m)</t>
  </si>
  <si>
    <t>Hba(m)</t>
  </si>
  <si>
    <t>f 1,5"</t>
  </si>
  <si>
    <t>Para se responder as primeiras perguntas deve-se estabelecer a faixa da vazão e para tal deve-se determiná-la para o rendimento máximo:</t>
  </si>
  <si>
    <r>
      <t>h</t>
    </r>
    <r>
      <rPr>
        <sz val="10"/>
        <rFont val="Arial"/>
        <family val="0"/>
      </rPr>
      <t>Bmáx(%)</t>
    </r>
  </si>
  <si>
    <t>Q (m³/h)</t>
  </si>
  <si>
    <t>Faixa de operação: 0,6*Q do rendimento máximo =&lt;Qpto de trabalho =&lt;1,2*Q do rendimento máximo, portanto deve-se operar com a bomba:</t>
  </si>
  <si>
    <t>a</t>
  </si>
  <si>
    <t>m³/h</t>
  </si>
  <si>
    <t>ou</t>
  </si>
  <si>
    <t>l/s</t>
  </si>
  <si>
    <t>Dados:</t>
  </si>
  <si>
    <t>Z0 =</t>
  </si>
  <si>
    <t>ZentradaB1=</t>
  </si>
  <si>
    <t>ZentradaB2=</t>
  </si>
  <si>
    <t>ZeP1 =</t>
  </si>
  <si>
    <t>ZeP2 =</t>
  </si>
  <si>
    <t>ZeP3 =</t>
  </si>
  <si>
    <t>Adotando-se o PHR no nível do mar:</t>
  </si>
  <si>
    <t>Comprimento das tubulações</t>
  </si>
  <si>
    <t>L1-B1 =</t>
  </si>
  <si>
    <t>LB1-9 =</t>
  </si>
  <si>
    <t>LB2 - 9 =</t>
  </si>
  <si>
    <t>LB1-6 =</t>
  </si>
  <si>
    <t>L9-eP1 =</t>
  </si>
  <si>
    <t>L9-eP3 =</t>
  </si>
  <si>
    <t>L6-B2 =</t>
  </si>
  <si>
    <t>Tubulações de aço 40</t>
  </si>
  <si>
    <t>Dn = 3"</t>
  </si>
  <si>
    <t>Dint =</t>
  </si>
  <si>
    <t>A =</t>
  </si>
  <si>
    <t>cm²</t>
  </si>
  <si>
    <t>mm</t>
  </si>
  <si>
    <t>Dn = 2"</t>
  </si>
  <si>
    <t>Dn = 1,5"</t>
  </si>
  <si>
    <t>Propriedades do fluido</t>
  </si>
  <si>
    <t>kg/m³</t>
  </si>
  <si>
    <t>Pa*s</t>
  </si>
  <si>
    <r>
      <t xml:space="preserve">r </t>
    </r>
    <r>
      <rPr>
        <b/>
        <sz val="10"/>
        <color indexed="53"/>
        <rFont val="Arial"/>
        <family val="2"/>
      </rPr>
      <t>=</t>
    </r>
  </si>
  <si>
    <r>
      <t>m</t>
    </r>
    <r>
      <rPr>
        <b/>
        <sz val="10"/>
        <color indexed="53"/>
        <rFont val="Arial"/>
        <family val="2"/>
      </rPr>
      <t xml:space="preserve"> =</t>
    </r>
  </si>
  <si>
    <t>do local:</t>
  </si>
  <si>
    <t>g =</t>
  </si>
  <si>
    <t>m/s²</t>
  </si>
  <si>
    <t>bar</t>
  </si>
  <si>
    <t>patm =</t>
  </si>
  <si>
    <t>K =</t>
  </si>
  <si>
    <t>Pressão de entrada dos processos:</t>
  </si>
  <si>
    <t>peP1 =</t>
  </si>
  <si>
    <t>kPa</t>
  </si>
  <si>
    <t>peP2 =</t>
  </si>
  <si>
    <t>peP3 =</t>
  </si>
  <si>
    <t>Pa</t>
  </si>
  <si>
    <t>Comprimentos equivalentes</t>
  </si>
  <si>
    <t>Legenda</t>
  </si>
  <si>
    <t>Singularidade</t>
  </si>
  <si>
    <t>Leq (m)</t>
  </si>
  <si>
    <t>válvula gaveta de 3"</t>
  </si>
  <si>
    <t>sáida de reservatório para 3"</t>
  </si>
  <si>
    <t>tê de saída lateral de 3"</t>
  </si>
  <si>
    <t>curva fêmea longa de 3"</t>
  </si>
  <si>
    <t>tê de redução de 3 x 2" passagem direta</t>
  </si>
  <si>
    <t>tê de redução de 3 x 2" saída lateral</t>
  </si>
  <si>
    <t>joelho de 90º de 2"</t>
  </si>
  <si>
    <t>válvula gaveta de 2"</t>
  </si>
  <si>
    <t>tê de saída lateral de 2"</t>
  </si>
  <si>
    <t>válvula globo de 2"</t>
  </si>
  <si>
    <t>tê de passagem direta de 2"</t>
  </si>
  <si>
    <t>curva fêmea longa de 2"</t>
  </si>
  <si>
    <t>luva de redução de 2 x 1,5"</t>
  </si>
  <si>
    <t>joelho de 90º de 1,5"</t>
  </si>
  <si>
    <t>válvula gaveta de 1,5"</t>
  </si>
  <si>
    <t>curva fêmea longa de1,5"</t>
  </si>
  <si>
    <t>joelho de saída lateral</t>
  </si>
  <si>
    <t>união oi niple de 3", 2" ou 1,5"</t>
  </si>
  <si>
    <t>extra</t>
  </si>
  <si>
    <t>1ª situação:</t>
  </si>
  <si>
    <t>alimenta só o processo P1 por B1</t>
  </si>
  <si>
    <t>Q =</t>
  </si>
  <si>
    <t>determina-se a equação da CCI</t>
  </si>
  <si>
    <t>Tubulação de 3"</t>
  </si>
  <si>
    <t>L =</t>
  </si>
  <si>
    <r>
      <t>S</t>
    </r>
    <r>
      <rPr>
        <sz val="10"/>
        <color indexed="10"/>
        <rFont val="Arial"/>
        <family val="0"/>
      </rPr>
      <t>leq =</t>
    </r>
  </si>
  <si>
    <t>Tubulação de 2"</t>
  </si>
  <si>
    <t>.=</t>
  </si>
  <si>
    <t>*Q²</t>
  </si>
  <si>
    <r>
      <t>H</t>
    </r>
    <r>
      <rPr>
        <sz val="8"/>
        <color indexed="10"/>
        <rFont val="Arial"/>
        <family val="0"/>
      </rPr>
      <t>p3"</t>
    </r>
  </si>
  <si>
    <r>
      <t>f</t>
    </r>
    <r>
      <rPr>
        <sz val="8"/>
        <color indexed="10"/>
        <rFont val="Arial"/>
        <family val="0"/>
      </rPr>
      <t xml:space="preserve">3" </t>
    </r>
    <r>
      <rPr>
        <sz val="12"/>
        <color indexed="10"/>
        <rFont val="Arial"/>
        <family val="0"/>
      </rPr>
      <t>*</t>
    </r>
  </si>
  <si>
    <r>
      <t>H</t>
    </r>
    <r>
      <rPr>
        <sz val="8"/>
        <color indexed="10"/>
        <rFont val="Arial"/>
        <family val="0"/>
      </rPr>
      <t>p2"</t>
    </r>
  </si>
  <si>
    <r>
      <t>f</t>
    </r>
    <r>
      <rPr>
        <sz val="8"/>
        <color indexed="10"/>
        <rFont val="Arial"/>
        <family val="0"/>
      </rPr>
      <t xml:space="preserve">2" </t>
    </r>
    <r>
      <rPr>
        <sz val="12"/>
        <color indexed="10"/>
        <rFont val="Arial"/>
        <family val="0"/>
      </rPr>
      <t>*</t>
    </r>
  </si>
  <si>
    <r>
      <t>H</t>
    </r>
    <r>
      <rPr>
        <sz val="8"/>
        <color indexed="10"/>
        <rFont val="Arial"/>
        <family val="0"/>
      </rPr>
      <t>S</t>
    </r>
    <r>
      <rPr>
        <sz val="12"/>
        <color indexed="10"/>
        <rFont val="Arial"/>
        <family val="0"/>
      </rPr>
      <t xml:space="preserve"> =</t>
    </r>
  </si>
  <si>
    <t>.+</t>
  </si>
  <si>
    <t>*Q² +</t>
  </si>
  <si>
    <t>CCI</t>
  </si>
  <si>
    <t>CCB</t>
  </si>
  <si>
    <t>*Q +</t>
  </si>
  <si>
    <r>
      <t>H</t>
    </r>
    <r>
      <rPr>
        <sz val="8"/>
        <color indexed="10"/>
        <rFont val="Arial"/>
        <family val="0"/>
      </rPr>
      <t>B</t>
    </r>
    <r>
      <rPr>
        <sz val="12"/>
        <color indexed="10"/>
        <rFont val="Arial"/>
        <family val="0"/>
      </rPr>
      <t xml:space="preserve"> =</t>
    </r>
  </si>
  <si>
    <t>Ponto de trabalho tem-se CCB = CCI, portanto deve-se igualar as equações:</t>
  </si>
  <si>
    <t>.= 0</t>
  </si>
  <si>
    <t>Portanto:</t>
  </si>
  <si>
    <r>
      <t>h</t>
    </r>
    <r>
      <rPr>
        <sz val="8"/>
        <color indexed="10"/>
        <rFont val="Arial"/>
        <family val="2"/>
      </rPr>
      <t>B</t>
    </r>
    <r>
      <rPr>
        <sz val="12"/>
        <color indexed="10"/>
        <rFont val="Arial"/>
        <family val="0"/>
      </rPr>
      <t xml:space="preserve"> =</t>
    </r>
  </si>
  <si>
    <t>%</t>
  </si>
  <si>
    <r>
      <t>N</t>
    </r>
    <r>
      <rPr>
        <sz val="8"/>
        <color indexed="10"/>
        <rFont val="Arial"/>
        <family val="2"/>
      </rPr>
      <t>B</t>
    </r>
    <r>
      <rPr>
        <sz val="12"/>
        <color indexed="10"/>
        <rFont val="Arial"/>
        <family val="0"/>
      </rPr>
      <t xml:space="preserve"> =</t>
    </r>
  </si>
  <si>
    <t>w</t>
  </si>
  <si>
    <t>CV</t>
  </si>
  <si>
    <t>Primeira possibilidade de solução: traçando a CCI e lendo a vazão do ponto de trabalho</t>
  </si>
  <si>
    <t>Adotando-se o rendimento de 90% para o motor elétrico pode-se calcular Nmref:</t>
  </si>
  <si>
    <r>
      <t>N</t>
    </r>
    <r>
      <rPr>
        <sz val="8"/>
        <color indexed="10"/>
        <rFont val="Arial"/>
        <family val="0"/>
      </rPr>
      <t>mref</t>
    </r>
    <r>
      <rPr>
        <sz val="12"/>
        <color indexed="10"/>
        <rFont val="Arial"/>
        <family val="0"/>
      </rPr>
      <t xml:space="preserve"> =</t>
    </r>
  </si>
  <si>
    <t>Motores normalizados para 220 V</t>
  </si>
  <si>
    <t>Escolhe-se o motor de 5 CV e se tem o rendimento real de:</t>
  </si>
  <si>
    <r>
      <t>h</t>
    </r>
    <r>
      <rPr>
        <sz val="8"/>
        <color indexed="10"/>
        <rFont val="Arial"/>
        <family val="2"/>
      </rPr>
      <t>m</t>
    </r>
    <r>
      <rPr>
        <sz val="12"/>
        <color indexed="10"/>
        <rFont val="Arial"/>
        <family val="0"/>
      </rPr>
      <t xml:space="preserve"> =</t>
    </r>
  </si>
  <si>
    <t>dias/mês =</t>
  </si>
  <si>
    <t>h/dia =</t>
  </si>
  <si>
    <t>kwh/mês</t>
  </si>
  <si>
    <t>Segunda possibilidade de solução: achar a CCI com os "f" médios</t>
  </si>
  <si>
    <t>f 3" médio =</t>
  </si>
  <si>
    <r>
      <t>S</t>
    </r>
    <r>
      <rPr>
        <sz val="10"/>
        <color indexed="10"/>
        <rFont val="Arial"/>
        <family val="0"/>
      </rPr>
      <t xml:space="preserve"> =</t>
    </r>
  </si>
  <si>
    <t>f 2" médio =</t>
  </si>
  <si>
    <t>com a vazão dada em m³/s e Hs em m</t>
  </si>
  <si>
    <t>com a vazão dada em m³/h e Hs em m</t>
  </si>
  <si>
    <t>Comparando-se as respostas verifica que são iguais, portanto:</t>
  </si>
  <si>
    <t>Consumo mensal =</t>
  </si>
  <si>
    <t>Cosumo mensal:</t>
  </si>
  <si>
    <t>2ª situação:</t>
  </si>
  <si>
    <t>determina-se a carga estática</t>
  </si>
  <si>
    <t>Hest =</t>
  </si>
  <si>
    <t>A vazão acima é tecnicamente viável mesmo com o fator de segurança mínimo, portanto:</t>
  </si>
  <si>
    <t>Com os "f" médios obtém-se a CCI</t>
  </si>
  <si>
    <t>CCB)assoc</t>
  </si>
  <si>
    <r>
      <t>H</t>
    </r>
    <r>
      <rPr>
        <sz val="8"/>
        <color indexed="10"/>
        <rFont val="Arial"/>
        <family val="2"/>
      </rPr>
      <t>Ba</t>
    </r>
    <r>
      <rPr>
        <sz val="12"/>
        <color indexed="10"/>
        <rFont val="Arial"/>
        <family val="0"/>
      </rPr>
      <t xml:space="preserve"> =</t>
    </r>
  </si>
  <si>
    <t>Qa =</t>
  </si>
  <si>
    <t>A vazão acima é tecnicamente viável, mesmo utilizando-se o fator de segurança mínimo, portanto:</t>
  </si>
  <si>
    <t>Como as bombas são iguais para cada bomba se tem:</t>
  </si>
  <si>
    <t>O que comprova a escolha do motor de 5CV, portanto:</t>
  </si>
  <si>
    <t>Esta vazão é tecnicamente viável.</t>
  </si>
  <si>
    <t>Traçando-se a CCI e obtendo-se a Q no cruzamento da CCI com a CCB</t>
  </si>
  <si>
    <r>
      <t>H</t>
    </r>
    <r>
      <rPr>
        <sz val="8"/>
        <color indexed="10"/>
        <rFont val="Arial"/>
        <family val="0"/>
      </rPr>
      <t>Ba</t>
    </r>
    <r>
      <rPr>
        <sz val="12"/>
        <color indexed="10"/>
        <rFont val="Arial"/>
        <family val="0"/>
      </rPr>
      <t xml:space="preserve"> =</t>
    </r>
  </si>
  <si>
    <t>3ª</t>
  </si>
  <si>
    <t>alimenta só o processo P1 por B1 com a vazão especificada a seguir</t>
  </si>
  <si>
    <t>Pede-se a freqüência e a redução do consumo obtida com a utilização do inversor de freqüência:</t>
  </si>
  <si>
    <t>Impondo-se a condição de semelhança entre o ponto 1 e 2, obte-se:</t>
  </si>
  <si>
    <r>
      <t>n</t>
    </r>
    <r>
      <rPr>
        <sz val="8"/>
        <color indexed="10"/>
        <rFont val="Arial"/>
        <family val="0"/>
      </rPr>
      <t>2</t>
    </r>
    <r>
      <rPr>
        <sz val="12"/>
        <color indexed="10"/>
        <rFont val="Arial"/>
        <family val="0"/>
      </rPr>
      <t xml:space="preserve"> =</t>
    </r>
  </si>
  <si>
    <t>rpm</t>
  </si>
  <si>
    <t>Como os motores são de dois polos, tem-se:</t>
  </si>
  <si>
    <t>f =</t>
  </si>
  <si>
    <t>Hz</t>
  </si>
  <si>
    <t>Determinação da freqüência</t>
  </si>
  <si>
    <t>Cálculo do Nm fechando-se a válvula:</t>
  </si>
  <si>
    <t>Nm =</t>
  </si>
  <si>
    <t>kw</t>
  </si>
  <si>
    <t>Cálculo do Nm com o inversor de freqüência:</t>
  </si>
  <si>
    <t>Portanto, pode-se calcular a redução:</t>
  </si>
  <si>
    <t>redução =</t>
  </si>
  <si>
    <t>NPSHdisp =</t>
  </si>
  <si>
    <t>Calculado com a Q obtida com fmédios</t>
  </si>
  <si>
    <t>pvapor =</t>
  </si>
  <si>
    <t>Calculado com a Q obtida no cruzamento da CCB com a CCI e f obtido na planilha</t>
  </si>
  <si>
    <t>Calculado com a Q obtida no cruzamento da CCB com a CCI e f médio</t>
  </si>
  <si>
    <t>Cálculo do NPSHreq pela equação dada no gráfico;</t>
  </si>
  <si>
    <t>NPSHreq =</t>
  </si>
  <si>
    <t>Portanto a reserva contra a cavitação (rcc) pode ser calculada:</t>
  </si>
  <si>
    <t>rcc =</t>
  </si>
  <si>
    <t>Portanto, não ocorre o fenômeno de cavitação.</t>
  </si>
  <si>
    <t>Tubulação:</t>
  </si>
  <si>
    <t>Entradas da bomba B7 e B8 têm diâmetro hidráulico de 2".</t>
  </si>
  <si>
    <t>D (m)</t>
  </si>
  <si>
    <t>A (m²)</t>
  </si>
  <si>
    <t>Saídas da bomba B7 e B8 têm diâmetro hidráulico de 1,5".</t>
  </si>
  <si>
    <t>Bancada 7 (B7): entrada = seção 1 e saída = seção 2</t>
  </si>
  <si>
    <t>Bancada 8 (B8): entrada = seção 3 e saída = seção 4</t>
  </si>
  <si>
    <t>Fluido</t>
  </si>
  <si>
    <t>água</t>
  </si>
  <si>
    <t>T (°C)</t>
  </si>
  <si>
    <t>Pbarom. (bar)</t>
  </si>
  <si>
    <t>Pbarom. (Pa)</t>
  </si>
  <si>
    <t>g (m/s²)</t>
  </si>
  <si>
    <t>pvapor (Pa)</t>
  </si>
  <si>
    <r>
      <t xml:space="preserve">m </t>
    </r>
    <r>
      <rPr>
        <sz val="10"/>
        <color indexed="10"/>
        <rFont val="Arial"/>
        <family val="2"/>
      </rPr>
      <t>(kg/m.s)</t>
    </r>
  </si>
  <si>
    <r>
      <t xml:space="preserve">r </t>
    </r>
    <r>
      <rPr>
        <sz val="10"/>
        <color indexed="10"/>
        <rFont val="Arial"/>
        <family val="2"/>
      </rPr>
      <t>(kg/m³)</t>
    </r>
  </si>
  <si>
    <t>Equacionamento:</t>
  </si>
  <si>
    <r>
      <t>z</t>
    </r>
    <r>
      <rPr>
        <sz val="8"/>
        <color indexed="10"/>
        <rFont val="Arial"/>
        <family val="2"/>
      </rPr>
      <t>2</t>
    </r>
    <r>
      <rPr>
        <sz val="12"/>
        <color indexed="10"/>
        <rFont val="Arial"/>
        <family val="0"/>
      </rPr>
      <t>-z</t>
    </r>
    <r>
      <rPr>
        <sz val="8"/>
        <color indexed="10"/>
        <rFont val="Arial"/>
        <family val="2"/>
      </rPr>
      <t>1</t>
    </r>
    <r>
      <rPr>
        <sz val="12"/>
        <color indexed="10"/>
        <rFont val="Arial"/>
        <family val="0"/>
      </rPr>
      <t xml:space="preserve"> (cm)</t>
    </r>
  </si>
  <si>
    <r>
      <t>z</t>
    </r>
    <r>
      <rPr>
        <sz val="8"/>
        <color indexed="10"/>
        <rFont val="Arial"/>
        <family val="2"/>
      </rPr>
      <t>4</t>
    </r>
    <r>
      <rPr>
        <sz val="12"/>
        <color indexed="10"/>
        <rFont val="Arial"/>
        <family val="0"/>
      </rPr>
      <t>-z</t>
    </r>
    <r>
      <rPr>
        <sz val="8"/>
        <color indexed="10"/>
        <rFont val="Arial"/>
        <family val="2"/>
      </rPr>
      <t>3</t>
    </r>
    <r>
      <rPr>
        <sz val="12"/>
        <color indexed="10"/>
        <rFont val="Arial"/>
        <family val="0"/>
      </rPr>
      <t xml:space="preserve"> (cm)</t>
    </r>
  </si>
  <si>
    <r>
      <t>Q</t>
    </r>
    <r>
      <rPr>
        <sz val="8"/>
        <color indexed="10"/>
        <rFont val="Arial"/>
        <family val="0"/>
      </rPr>
      <t>B7</t>
    </r>
    <r>
      <rPr>
        <sz val="12"/>
        <color indexed="10"/>
        <rFont val="Arial"/>
        <family val="0"/>
      </rPr>
      <t xml:space="preserve"> (l/min)</t>
    </r>
  </si>
  <si>
    <r>
      <t>n</t>
    </r>
    <r>
      <rPr>
        <sz val="8"/>
        <color indexed="10"/>
        <rFont val="Arial"/>
        <family val="0"/>
      </rPr>
      <t>B7</t>
    </r>
    <r>
      <rPr>
        <sz val="12"/>
        <color indexed="10"/>
        <rFont val="Arial"/>
        <family val="0"/>
      </rPr>
      <t xml:space="preserve"> (rpm)</t>
    </r>
  </si>
  <si>
    <r>
      <t xml:space="preserve">p </t>
    </r>
    <r>
      <rPr>
        <sz val="8"/>
        <color indexed="10"/>
        <rFont val="Arial"/>
        <family val="2"/>
      </rPr>
      <t>barom</t>
    </r>
    <r>
      <rPr>
        <sz val="12"/>
        <color indexed="10"/>
        <rFont val="Arial"/>
        <family val="0"/>
      </rPr>
      <t xml:space="preserve"> (bar)</t>
    </r>
  </si>
  <si>
    <r>
      <t>p</t>
    </r>
    <r>
      <rPr>
        <sz val="8"/>
        <color indexed="10"/>
        <rFont val="Arial"/>
        <family val="0"/>
      </rPr>
      <t>1 abs</t>
    </r>
    <r>
      <rPr>
        <sz val="12"/>
        <color indexed="10"/>
        <rFont val="Arial"/>
        <family val="0"/>
      </rPr>
      <t xml:space="preserve"> (bar)</t>
    </r>
  </si>
  <si>
    <r>
      <t>p</t>
    </r>
    <r>
      <rPr>
        <sz val="8"/>
        <color indexed="10"/>
        <rFont val="Arial"/>
        <family val="0"/>
      </rPr>
      <t>2</t>
    </r>
    <r>
      <rPr>
        <sz val="12"/>
        <color indexed="10"/>
        <rFont val="Arial"/>
        <family val="0"/>
      </rPr>
      <t xml:space="preserve"> (kPa)</t>
    </r>
  </si>
  <si>
    <r>
      <t>Q</t>
    </r>
    <r>
      <rPr>
        <sz val="8"/>
        <color indexed="10"/>
        <rFont val="Arial"/>
        <family val="0"/>
      </rPr>
      <t>B8</t>
    </r>
    <r>
      <rPr>
        <sz val="12"/>
        <color indexed="10"/>
        <rFont val="Arial"/>
        <family val="0"/>
      </rPr>
      <t xml:space="preserve"> (l/min)</t>
    </r>
  </si>
  <si>
    <r>
      <t>n</t>
    </r>
    <r>
      <rPr>
        <sz val="8"/>
        <color indexed="10"/>
        <rFont val="Arial"/>
        <family val="0"/>
      </rPr>
      <t>B8</t>
    </r>
    <r>
      <rPr>
        <sz val="12"/>
        <color indexed="10"/>
        <rFont val="Arial"/>
        <family val="0"/>
      </rPr>
      <t xml:space="preserve"> (rpm)</t>
    </r>
  </si>
  <si>
    <r>
      <t>p</t>
    </r>
    <r>
      <rPr>
        <sz val="8"/>
        <color indexed="10"/>
        <rFont val="Arial"/>
        <family val="0"/>
      </rPr>
      <t>3 abs</t>
    </r>
    <r>
      <rPr>
        <sz val="12"/>
        <color indexed="10"/>
        <rFont val="Arial"/>
        <family val="0"/>
      </rPr>
      <t xml:space="preserve"> (bar)</t>
    </r>
  </si>
  <si>
    <r>
      <t>p</t>
    </r>
    <r>
      <rPr>
        <sz val="8"/>
        <color indexed="10"/>
        <rFont val="Arial"/>
        <family val="0"/>
      </rPr>
      <t>4</t>
    </r>
    <r>
      <rPr>
        <sz val="12"/>
        <color indexed="10"/>
        <rFont val="Arial"/>
        <family val="0"/>
      </rPr>
      <t xml:space="preserve"> (kPa)</t>
    </r>
  </si>
  <si>
    <t>Tabela de dados coletados nas bancadas:</t>
  </si>
  <si>
    <t>Tabela de resultados obtidos das bancadas:</t>
  </si>
  <si>
    <r>
      <t>Q</t>
    </r>
    <r>
      <rPr>
        <sz val="8"/>
        <color indexed="10"/>
        <rFont val="Arial"/>
        <family val="2"/>
      </rPr>
      <t>B7</t>
    </r>
    <r>
      <rPr>
        <sz val="12"/>
        <color indexed="10"/>
        <rFont val="Arial"/>
        <family val="0"/>
      </rPr>
      <t xml:space="preserve"> (m³/s)</t>
    </r>
  </si>
  <si>
    <r>
      <t>Q²</t>
    </r>
    <r>
      <rPr>
        <sz val="8"/>
        <color indexed="10"/>
        <rFont val="Arial"/>
        <family val="0"/>
      </rPr>
      <t>B7</t>
    </r>
    <r>
      <rPr>
        <sz val="12"/>
        <color indexed="10"/>
        <rFont val="Arial"/>
        <family val="0"/>
      </rPr>
      <t>/2gA²</t>
    </r>
    <r>
      <rPr>
        <sz val="8"/>
        <color indexed="10"/>
        <rFont val="Arial"/>
        <family val="0"/>
      </rPr>
      <t>2</t>
    </r>
  </si>
  <si>
    <r>
      <t>Q²</t>
    </r>
    <r>
      <rPr>
        <sz val="8"/>
        <color indexed="10"/>
        <rFont val="Arial"/>
        <family val="0"/>
      </rPr>
      <t>B7</t>
    </r>
    <r>
      <rPr>
        <sz val="12"/>
        <color indexed="10"/>
        <rFont val="Arial"/>
        <family val="0"/>
      </rPr>
      <t>/2gA²</t>
    </r>
    <r>
      <rPr>
        <sz val="8"/>
        <color indexed="10"/>
        <rFont val="Arial"/>
        <family val="0"/>
      </rPr>
      <t>1</t>
    </r>
  </si>
  <si>
    <r>
      <t>H</t>
    </r>
    <r>
      <rPr>
        <sz val="8"/>
        <color indexed="10"/>
        <rFont val="Arial"/>
        <family val="2"/>
      </rPr>
      <t>2</t>
    </r>
    <r>
      <rPr>
        <sz val="12"/>
        <color indexed="10"/>
        <rFont val="Arial"/>
        <family val="0"/>
      </rPr>
      <t>-H</t>
    </r>
    <r>
      <rPr>
        <sz val="8"/>
        <color indexed="10"/>
        <rFont val="Arial"/>
        <family val="2"/>
      </rPr>
      <t>1</t>
    </r>
    <r>
      <rPr>
        <sz val="12"/>
        <color indexed="10"/>
        <rFont val="Arial"/>
        <family val="0"/>
      </rPr>
      <t xml:space="preserve"> (m)</t>
    </r>
  </si>
  <si>
    <r>
      <t>Q</t>
    </r>
    <r>
      <rPr>
        <sz val="8"/>
        <color indexed="10"/>
        <rFont val="Arial"/>
        <family val="2"/>
      </rPr>
      <t>B8</t>
    </r>
    <r>
      <rPr>
        <sz val="12"/>
        <color indexed="10"/>
        <rFont val="Arial"/>
        <family val="0"/>
      </rPr>
      <t xml:space="preserve"> (m³/s)</t>
    </r>
  </si>
  <si>
    <r>
      <t>Q²</t>
    </r>
    <r>
      <rPr>
        <sz val="8"/>
        <color indexed="10"/>
        <rFont val="Arial"/>
        <family val="0"/>
      </rPr>
      <t>B8</t>
    </r>
    <r>
      <rPr>
        <sz val="12"/>
        <color indexed="10"/>
        <rFont val="Arial"/>
        <family val="0"/>
      </rPr>
      <t>/2gA²</t>
    </r>
    <r>
      <rPr>
        <sz val="8"/>
        <color indexed="10"/>
        <rFont val="Arial"/>
        <family val="0"/>
      </rPr>
      <t>4</t>
    </r>
  </si>
  <si>
    <r>
      <t>Q²</t>
    </r>
    <r>
      <rPr>
        <sz val="8"/>
        <color indexed="10"/>
        <rFont val="Arial"/>
        <family val="0"/>
      </rPr>
      <t>B8</t>
    </r>
    <r>
      <rPr>
        <sz val="12"/>
        <color indexed="10"/>
        <rFont val="Arial"/>
        <family val="0"/>
      </rPr>
      <t>/2gA²</t>
    </r>
    <r>
      <rPr>
        <sz val="8"/>
        <color indexed="10"/>
        <rFont val="Arial"/>
        <family val="0"/>
      </rPr>
      <t>3</t>
    </r>
  </si>
  <si>
    <r>
      <t>H</t>
    </r>
    <r>
      <rPr>
        <sz val="8"/>
        <color indexed="10"/>
        <rFont val="Arial"/>
        <family val="2"/>
      </rPr>
      <t>4</t>
    </r>
    <r>
      <rPr>
        <sz val="12"/>
        <color indexed="10"/>
        <rFont val="Arial"/>
        <family val="0"/>
      </rPr>
      <t>-H</t>
    </r>
    <r>
      <rPr>
        <sz val="8"/>
        <color indexed="10"/>
        <rFont val="Arial"/>
        <family val="2"/>
      </rPr>
      <t>3</t>
    </r>
    <r>
      <rPr>
        <sz val="12"/>
        <color indexed="10"/>
        <rFont val="Arial"/>
        <family val="0"/>
      </rPr>
      <t xml:space="preserve"> (m)</t>
    </r>
  </si>
  <si>
    <r>
      <t>H</t>
    </r>
    <r>
      <rPr>
        <sz val="8"/>
        <color indexed="10"/>
        <rFont val="Arial"/>
        <family val="2"/>
      </rPr>
      <t xml:space="preserve">Ba </t>
    </r>
    <r>
      <rPr>
        <sz val="12"/>
        <color indexed="10"/>
        <rFont val="Arial"/>
        <family val="0"/>
      </rPr>
      <t>(m)</t>
    </r>
  </si>
  <si>
    <r>
      <t>Q</t>
    </r>
    <r>
      <rPr>
        <sz val="8"/>
        <color indexed="10"/>
        <rFont val="Arial"/>
        <family val="2"/>
      </rPr>
      <t>a</t>
    </r>
    <r>
      <rPr>
        <sz val="12"/>
        <color indexed="10"/>
        <rFont val="Arial"/>
        <family val="0"/>
      </rPr>
      <t xml:space="preserve"> (m³/s)</t>
    </r>
  </si>
  <si>
    <r>
      <t>Q</t>
    </r>
    <r>
      <rPr>
        <sz val="8"/>
        <color indexed="10"/>
        <rFont val="Arial"/>
        <family val="2"/>
      </rPr>
      <t>a</t>
    </r>
    <r>
      <rPr>
        <sz val="12"/>
        <color indexed="10"/>
        <rFont val="Arial"/>
        <family val="0"/>
      </rPr>
      <t xml:space="preserve"> (m³/h)</t>
    </r>
  </si>
  <si>
    <t>Qa corr. (m³/h)</t>
  </si>
  <si>
    <t>Hbass corr. (m)</t>
  </si>
  <si>
    <t>nmédio (rpm)</t>
  </si>
  <si>
    <t>n (rpm)</t>
  </si>
  <si>
    <t>rotação dada pelo fabricante da bomba:</t>
  </si>
  <si>
    <t xml:space="preserve">alimenta só o processo P2 </t>
  </si>
  <si>
    <t>L9-17 =</t>
  </si>
  <si>
    <t>Determinação da equação da CCI para a associação em série que alimentará o processo P2:</t>
  </si>
  <si>
    <t>f 1,5" médio =</t>
  </si>
  <si>
    <t>f1,5"</t>
  </si>
  <si>
    <t>Esta vazão é tecnicamente viável, inclusive com o fator de segurança mínimo.</t>
  </si>
  <si>
    <t>4ª - verificar o fenômeno de cavitação para a 1ª situação:</t>
  </si>
  <si>
    <t>Neste caso a situação a ser analisada seria a B1.</t>
  </si>
  <si>
    <t>Portanto se tem praticamente o mesmo valor e qualquer das situações escolhida.</t>
  </si>
  <si>
    <t>5ª - parte prática: para Qpratica = 0,7*Qmáx determinar o Hba para 3500 rpm</t>
  </si>
  <si>
    <t>L1-B2 =</t>
  </si>
  <si>
    <t>L9-eP2 =</t>
  </si>
  <si>
    <t>Como a carga estática é maior do HB para vazão nula, pode-se concluir que não é possível trabalhar com uma única bomba, e como deseja-se aumentar o HB, a possibilidade e se tentar a associação em série das bombas:</t>
  </si>
  <si>
    <t xml:space="preserve">*Q² </t>
  </si>
  <si>
    <t>O fluido não é considerado viscoso, já que sua viscosidade cinemática (igual a 0,893 mm²/s) é menor que 20 mm²/s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</si>
</sst>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000"/>
    <numFmt numFmtId="171" formatCode="0.000"/>
    <numFmt numFmtId="172" formatCode="0.0"/>
    <numFmt numFmtId="173" formatCode="0.0000000"/>
    <numFmt numFmtId="174" formatCode="0.000000"/>
    <numFmt numFmtId="175" formatCode="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"/>
    <numFmt numFmtId="181" formatCode="0.000000000"/>
  </numFmts>
  <fonts count="3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name val="Symbol"/>
      <family val="1"/>
    </font>
    <font>
      <b/>
      <sz val="12"/>
      <name val="Arial"/>
      <family val="0"/>
    </font>
    <font>
      <b/>
      <sz val="10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2"/>
      <name val="Symbol"/>
      <family val="1"/>
    </font>
    <font>
      <b/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sz val="11"/>
      <color indexed="14"/>
      <name val="Arial"/>
      <family val="2"/>
    </font>
    <font>
      <b/>
      <sz val="11"/>
      <name val="Arial"/>
      <family val="0"/>
    </font>
    <font>
      <vertAlign val="superscript"/>
      <sz val="11"/>
      <color indexed="14"/>
      <name val="Arial"/>
      <family val="2"/>
    </font>
    <font>
      <sz val="11"/>
      <color indexed="12"/>
      <name val="Arial"/>
      <family val="2"/>
    </font>
    <font>
      <sz val="11"/>
      <name val="Arial"/>
      <family val="0"/>
    </font>
    <font>
      <vertAlign val="superscript"/>
      <sz val="11"/>
      <color indexed="12"/>
      <name val="Arial"/>
      <family val="2"/>
    </font>
    <font>
      <sz val="11"/>
      <color indexed="17"/>
      <name val="Arial"/>
      <family val="2"/>
    </font>
    <font>
      <vertAlign val="superscript"/>
      <sz val="11"/>
      <color indexed="17"/>
      <name val="Arial"/>
      <family val="2"/>
    </font>
    <font>
      <sz val="10"/>
      <color indexed="12"/>
      <name val="Arial"/>
      <family val="0"/>
    </font>
    <font>
      <sz val="10"/>
      <color indexed="53"/>
      <name val="Arial"/>
      <family val="0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Symbol"/>
      <family val="1"/>
    </font>
    <font>
      <sz val="10"/>
      <color indexed="10"/>
      <name val="Symbol"/>
      <family val="1"/>
    </font>
    <font>
      <sz val="12"/>
      <color indexed="10"/>
      <name val="Arial"/>
      <family val="0"/>
    </font>
    <font>
      <sz val="8"/>
      <color indexed="10"/>
      <name val="Arial"/>
      <family val="0"/>
    </font>
    <font>
      <sz val="12"/>
      <color indexed="10"/>
      <name val="Symbol"/>
      <family val="1"/>
    </font>
    <font>
      <vertAlign val="superscript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0" xfId="0" applyFont="1" applyAlignment="1">
      <alignment horizontal="center"/>
    </xf>
    <xf numFmtId="170" fontId="0" fillId="0" borderId="2" xfId="0" applyNumberFormat="1" applyBorder="1" applyAlignment="1">
      <alignment horizontal="center"/>
    </xf>
    <xf numFmtId="0" fontId="2" fillId="2" borderId="0" xfId="0" applyFont="1" applyFill="1" applyAlignment="1">
      <alignment/>
    </xf>
    <xf numFmtId="0" fontId="22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6" fillId="2" borderId="0" xfId="0" applyFont="1" applyFill="1" applyAlignment="1">
      <alignment/>
    </xf>
    <xf numFmtId="0" fontId="0" fillId="0" borderId="0" xfId="0" applyFont="1" applyAlignment="1">
      <alignment horizontal="center"/>
    </xf>
    <xf numFmtId="0" fontId="27" fillId="2" borderId="0" xfId="0" applyFont="1" applyFill="1" applyAlignment="1">
      <alignment horizontal="center"/>
    </xf>
    <xf numFmtId="11" fontId="0" fillId="0" borderId="0" xfId="0" applyNumberFormat="1" applyFont="1" applyAlignment="1">
      <alignment horizontal="center"/>
    </xf>
    <xf numFmtId="11" fontId="0" fillId="0" borderId="0" xfId="0" applyNumberFormat="1" applyAlignment="1">
      <alignment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9" fillId="2" borderId="0" xfId="0" applyFont="1" applyFill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31" fillId="2" borderId="0" xfId="0" applyFont="1" applyFill="1" applyAlignment="1">
      <alignment horizontal="center"/>
    </xf>
    <xf numFmtId="170" fontId="0" fillId="0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29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5" fontId="0" fillId="0" borderId="0" xfId="0" applyNumberFormat="1" applyAlignment="1">
      <alignment horizontal="center"/>
    </xf>
    <xf numFmtId="0" fontId="25" fillId="2" borderId="0" xfId="0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Fill="1" applyAlignment="1">
      <alignment/>
    </xf>
    <xf numFmtId="170" fontId="0" fillId="3" borderId="0" xfId="0" applyNumberFormat="1" applyFill="1" applyAlignment="1">
      <alignment horizontal="center"/>
    </xf>
    <xf numFmtId="172" fontId="0" fillId="3" borderId="0" xfId="0" applyNumberFormat="1" applyFill="1" applyAlignment="1">
      <alignment/>
    </xf>
    <xf numFmtId="17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2" fontId="0" fillId="3" borderId="0" xfId="0" applyNumberFormat="1" applyFill="1" applyAlignment="1">
      <alignment horizontal="center"/>
    </xf>
    <xf numFmtId="0" fontId="28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2" fontId="0" fillId="3" borderId="0" xfId="0" applyNumberFormat="1" applyFill="1" applyAlignment="1">
      <alignment/>
    </xf>
    <xf numFmtId="171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4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49" fontId="6" fillId="4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Curvas da ETA 40 - 16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HB = f(Q)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intercept val="36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'dados da B e CCIs e pto trabalh'!$A$4:$A$14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'dados da B e CCIs e pto trabalh'!$B$4:$B$14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rendimento = f(Q)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'dados da B e CCIs e pto trabalh'!$A$6:$A$14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'dados da B e CCIs e pto trabalh'!$C$6:$C$14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NPSHr = f(Q)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008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'dados da B e CCIs e pto trabalh'!$A$8:$A$14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'dados da B e CCIs e pto trabalh'!$E$8:$E$14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53969123"/>
        <c:axId val="15960060"/>
      </c:scatterChart>
      <c:valAx>
        <c:axId val="53969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Q(m³/h)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low"/>
        <c:crossAx val="15960060"/>
        <c:crosses val="autoZero"/>
        <c:crossBetween val="midCat"/>
        <c:dispUnits/>
      </c:valAx>
      <c:valAx>
        <c:axId val="15960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HB(m); rend(%) e NPSHr(m)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low"/>
        <c:crossAx val="539691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ETA 40-16 Dr = 140 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HB=f(Q)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intercept val="36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0000FF"/>
                </a:solidFill>
                <a:ln w="3175">
                  <a:noFill/>
                </a:ln>
              </c:spPr>
            </c:trendlineLbl>
          </c:trendline>
          <c:xVal>
            <c:numRef>
              <c:f>'dados da B e CCIs e pto trabalh'!$A$4:$A$14</c:f>
              <c:numCache>
                <c:ptCount val="11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</c:numCache>
            </c:numRef>
          </c:xVal>
          <c:yVal>
            <c:numRef>
              <c:f>'dados da B e CCIs e pto trabalh'!$B$4:$B$14</c:f>
              <c:numCache>
                <c:ptCount val="11"/>
                <c:pt idx="0">
                  <c:v>36.5</c:v>
                </c:pt>
                <c:pt idx="1">
                  <c:v>36.5</c:v>
                </c:pt>
                <c:pt idx="2">
                  <c:v>36.5</c:v>
                </c:pt>
                <c:pt idx="3">
                  <c:v>36.5</c:v>
                </c:pt>
                <c:pt idx="4">
                  <c:v>35.5</c:v>
                </c:pt>
                <c:pt idx="5">
                  <c:v>33.8</c:v>
                </c:pt>
                <c:pt idx="6">
                  <c:v>33</c:v>
                </c:pt>
                <c:pt idx="7">
                  <c:v>32</c:v>
                </c:pt>
                <c:pt idx="8">
                  <c:v>31</c:v>
                </c:pt>
                <c:pt idx="9">
                  <c:v>29.5</c:v>
                </c:pt>
                <c:pt idx="10">
                  <c:v>28</c:v>
                </c:pt>
              </c:numCache>
            </c:numRef>
          </c:yVal>
          <c:smooth val="0"/>
        </c:ser>
        <c:ser>
          <c:idx val="1"/>
          <c:order val="1"/>
          <c:tx>
            <c:v>rend =f(Q)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00FF"/>
                </a:solidFill>
                <a:ln w="3175">
                  <a:noFill/>
                </a:ln>
              </c:spPr>
            </c:trendlineLbl>
          </c:trendline>
          <c:xVal>
            <c:numRef>
              <c:f>'dados da B e CCIs e pto trabalh'!$A$6:$A$14</c:f>
              <c:numCache>
                <c:ptCount val="9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22</c:v>
                </c:pt>
                <c:pt idx="5">
                  <c:v>24</c:v>
                </c:pt>
                <c:pt idx="6">
                  <c:v>26</c:v>
                </c:pt>
                <c:pt idx="7">
                  <c:v>28</c:v>
                </c:pt>
                <c:pt idx="8">
                  <c:v>30</c:v>
                </c:pt>
              </c:numCache>
            </c:numRef>
          </c:xVal>
          <c:yVal>
            <c:numRef>
              <c:f>'dados da B e CCIs e pto trabalh'!$C$6:$C$14</c:f>
              <c:numCache>
                <c:ptCount val="9"/>
                <c:pt idx="0">
                  <c:v>42</c:v>
                </c:pt>
                <c:pt idx="1">
                  <c:v>46.5</c:v>
                </c:pt>
                <c:pt idx="2">
                  <c:v>56</c:v>
                </c:pt>
                <c:pt idx="3">
                  <c:v>61.5</c:v>
                </c:pt>
                <c:pt idx="4">
                  <c:v>62.5</c:v>
                </c:pt>
                <c:pt idx="5">
                  <c:v>63</c:v>
                </c:pt>
                <c:pt idx="6">
                  <c:v>62.5</c:v>
                </c:pt>
                <c:pt idx="7">
                  <c:v>61.5</c:v>
                </c:pt>
                <c:pt idx="8">
                  <c:v>60</c:v>
                </c:pt>
              </c:numCache>
            </c:numRef>
          </c:yVal>
          <c:smooth val="0"/>
        </c:ser>
        <c:ser>
          <c:idx val="2"/>
          <c:order val="2"/>
          <c:tx>
            <c:v>NPSHr=f(Q)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339966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339966"/>
                </a:solidFill>
                <a:ln w="3175">
                  <a:noFill/>
                </a:ln>
              </c:spPr>
            </c:trendlineLbl>
          </c:trendline>
          <c:xVal>
            <c:numRef>
              <c:f>'dados da B e CCIs e pto trabalh'!$A$8:$A$14</c:f>
              <c:numCache>
                <c:ptCount val="7"/>
                <c:pt idx="0">
                  <c:v>15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28</c:v>
                </c:pt>
                <c:pt idx="6">
                  <c:v>30</c:v>
                </c:pt>
              </c:numCache>
            </c:numRef>
          </c:xVal>
          <c:yVal>
            <c:numRef>
              <c:f>'dados da B e CCIs e pto trabalh'!$E$8:$E$14</c:f>
              <c:numCache>
                <c:ptCount val="7"/>
                <c:pt idx="0">
                  <c:v>2.138929513888889</c:v>
                </c:pt>
                <c:pt idx="1">
                  <c:v>2.819208024691358</c:v>
                </c:pt>
                <c:pt idx="2">
                  <c:v>3.083741709876543</c:v>
                </c:pt>
                <c:pt idx="3">
                  <c:v>3.5996595555555557</c:v>
                </c:pt>
                <c:pt idx="4">
                  <c:v>4.116961561728395</c:v>
                </c:pt>
                <c:pt idx="5">
                  <c:v>5.135647728395062</c:v>
                </c:pt>
                <c:pt idx="6">
                  <c:v>6.655718055555556</c:v>
                </c:pt>
              </c:numCache>
            </c:numRef>
          </c:yVal>
          <c:smooth val="0"/>
        </c:ser>
        <c:ser>
          <c:idx val="3"/>
          <c:order val="3"/>
          <c:tx>
            <c:v>HS = f(Q)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spPr>
              <a:ln w="12700">
                <a:solidFill>
                  <a:srgbClr val="008000"/>
                </a:solidFill>
              </a:ln>
            </c:spPr>
            <c:trendlineType val="poly"/>
            <c:order val="2"/>
            <c:intercept val="21.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00FFFF"/>
                </a:solidFill>
                <a:ln w="3175">
                  <a:noFill/>
                </a:ln>
              </c:spPr>
            </c:trendlineLbl>
          </c:trendline>
          <c:xVal>
            <c:numRef>
              <c:f>'dados da B e CCIs e pto trabalh'!$A$4:$A$14</c:f>
              <c:numCache>
                <c:ptCount val="11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</c:numCache>
            </c:numRef>
          </c:xVal>
          <c:yVal>
            <c:numRef>
              <c:f>'dados da B e CCIs e pto trabalh'!$I$4:$I$14</c:f>
              <c:numCache>
                <c:ptCount val="11"/>
                <c:pt idx="0">
                  <c:v>21.164350193437457</c:v>
                </c:pt>
                <c:pt idx="1">
                  <c:v>21.79624209905483</c:v>
                </c:pt>
                <c:pt idx="2">
                  <c:v>22.244725307788798</c:v>
                </c:pt>
                <c:pt idx="3">
                  <c:v>22.80764524932777</c:v>
                </c:pt>
                <c:pt idx="4">
                  <c:v>24.71141007519562</c:v>
                </c:pt>
                <c:pt idx="5">
                  <c:v>27.320612586998102</c:v>
                </c:pt>
                <c:pt idx="6">
                  <c:v>28.561261260965807</c:v>
                </c:pt>
                <c:pt idx="7">
                  <c:v>29.914329871244547</c:v>
                </c:pt>
                <c:pt idx="8">
                  <c:v>31.38086608275892</c:v>
                </c:pt>
                <c:pt idx="9">
                  <c:v>32.95749948348851</c:v>
                </c:pt>
                <c:pt idx="10">
                  <c:v>34.6475162992144</c:v>
                </c:pt>
              </c:numCache>
            </c:numRef>
          </c:yVal>
          <c:smooth val="0"/>
        </c:ser>
        <c:ser>
          <c:idx val="4"/>
          <c:order val="4"/>
          <c:tx>
            <c:v>Hsa = f(Qa)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spPr>
              <a:ln w="12700">
                <a:solidFill>
                  <a:srgbClr val="800000"/>
                </a:solidFill>
              </a:ln>
            </c:spPr>
            <c:trendlineType val="poly"/>
            <c:order val="2"/>
            <c:intercept val="4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800000"/>
                </a:solidFill>
                <a:ln w="3175">
                  <a:noFill/>
                </a:ln>
              </c:spPr>
            </c:trendlineLbl>
          </c:trendline>
          <c:xVal>
            <c:numRef>
              <c:f>'dados da B e CCIs e pto trabalh'!$A$4:$A$14</c:f>
              <c:numCache>
                <c:ptCount val="11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</c:numCache>
            </c:numRef>
          </c:xVal>
          <c:yVal>
            <c:numRef>
              <c:f>'dados da B e CCIs e pto trabalh'!$J$4:$J$14</c:f>
              <c:numCache>
                <c:ptCount val="11"/>
                <c:pt idx="0">
                  <c:v>40</c:v>
                </c:pt>
                <c:pt idx="1">
                  <c:v>41.60248726960795</c:v>
                </c:pt>
                <c:pt idx="2">
                  <c:v>42.73722054422768</c:v>
                </c:pt>
                <c:pt idx="3">
                  <c:v>44.16066565715845</c:v>
                </c:pt>
                <c:pt idx="4">
                  <c:v>48.97170463041434</c:v>
                </c:pt>
                <c:pt idx="5">
                  <c:v>55.56231522752726</c:v>
                </c:pt>
                <c:pt idx="6">
                  <c:v>58.69544556164546</c:v>
                </c:pt>
                <c:pt idx="7">
                  <c:v>62.112179022153306</c:v>
                </c:pt>
                <c:pt idx="8">
                  <c:v>65.81362039848423</c:v>
                </c:pt>
                <c:pt idx="9">
                  <c:v>69.79589120822534</c:v>
                </c:pt>
                <c:pt idx="10">
                  <c:v>74.06266188924266</c:v>
                </c:pt>
              </c:numCache>
            </c:numRef>
          </c:yVal>
          <c:smooth val="0"/>
        </c:ser>
        <c:ser>
          <c:idx val="5"/>
          <c:order val="5"/>
          <c:tx>
            <c:v>HBa = f(Qa)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spPr>
              <a:ln w="12700">
                <a:solidFill>
                  <a:srgbClr val="993300"/>
                </a:solidFill>
              </a:ln>
            </c:spPr>
            <c:trendlineType val="poly"/>
            <c:order val="2"/>
            <c:intercept val="7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3300"/>
                </a:solidFill>
                <a:ln w="3175">
                  <a:noFill/>
                </a:ln>
              </c:spPr>
            </c:trendlineLbl>
          </c:trendline>
          <c:xVal>
            <c:numRef>
              <c:f>'dados da B e CCIs e pto trabalh'!$A$4:$A$14</c:f>
              <c:numCache>
                <c:ptCount val="11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</c:numCache>
            </c:numRef>
          </c:xVal>
          <c:yVal>
            <c:numRef>
              <c:f>'dados da B e CCIs e pto trabalh'!$K$4:$K$14</c:f>
              <c:numCache>
                <c:ptCount val="11"/>
                <c:pt idx="0">
                  <c:v>73</c:v>
                </c:pt>
                <c:pt idx="1">
                  <c:v>73</c:v>
                </c:pt>
                <c:pt idx="2">
                  <c:v>73</c:v>
                </c:pt>
                <c:pt idx="3">
                  <c:v>73</c:v>
                </c:pt>
                <c:pt idx="4">
                  <c:v>71</c:v>
                </c:pt>
                <c:pt idx="5">
                  <c:v>67.6</c:v>
                </c:pt>
                <c:pt idx="6">
                  <c:v>66</c:v>
                </c:pt>
                <c:pt idx="7">
                  <c:v>64</c:v>
                </c:pt>
                <c:pt idx="8">
                  <c:v>62</c:v>
                </c:pt>
                <c:pt idx="9">
                  <c:v>59</c:v>
                </c:pt>
                <c:pt idx="10">
                  <c:v>56</c:v>
                </c:pt>
              </c:numCache>
            </c:numRef>
          </c:yVal>
          <c:smooth val="0"/>
        </c:ser>
        <c:axId val="9422813"/>
        <c:axId val="17696454"/>
      </c:scatterChart>
      <c:valAx>
        <c:axId val="942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Q(m³/h)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low"/>
        <c:crossAx val="17696454"/>
        <c:crosses val="autoZero"/>
        <c:crossBetween val="midCat"/>
        <c:dispUnits/>
      </c:valAx>
      <c:valAx>
        <c:axId val="17696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HB (m); rend(%); NPSHr(m)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low"/>
        <c:crossAx val="94228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0.png" /><Relationship Id="rId3" Type="http://schemas.openxmlformats.org/officeDocument/2006/relationships/image" Target="../media/image1.jpeg" /><Relationship Id="rId4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wmf" /><Relationship Id="rId3" Type="http://schemas.openxmlformats.org/officeDocument/2006/relationships/image" Target="../media/image5.wmf" /><Relationship Id="rId4" Type="http://schemas.openxmlformats.org/officeDocument/2006/relationships/image" Target="../media/image6.emf" /><Relationship Id="rId5" Type="http://schemas.openxmlformats.org/officeDocument/2006/relationships/image" Target="../media/image9.emf" /><Relationship Id="rId6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107</xdr:row>
      <xdr:rowOff>0</xdr:rowOff>
    </xdr:from>
    <xdr:to>
      <xdr:col>16</xdr:col>
      <xdr:colOff>904875</xdr:colOff>
      <xdr:row>112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6867525" y="17506950"/>
          <a:ext cx="6915150" cy="990600"/>
          <a:chOff x="591" y="1801"/>
          <a:chExt cx="567" cy="104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1" y="1845"/>
            <a:ext cx="567" cy="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Line 6"/>
          <xdr:cNvSpPr>
            <a:spLocks/>
          </xdr:cNvSpPr>
        </xdr:nvSpPr>
        <xdr:spPr>
          <a:xfrm>
            <a:off x="885" y="1801"/>
            <a:ext cx="0" cy="34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359</xdr:row>
      <xdr:rowOff>95250</xdr:rowOff>
    </xdr:from>
    <xdr:to>
      <xdr:col>14</xdr:col>
      <xdr:colOff>190500</xdr:colOff>
      <xdr:row>370</xdr:row>
      <xdr:rowOff>76200</xdr:rowOff>
    </xdr:to>
    <xdr:grpSp>
      <xdr:nvGrpSpPr>
        <xdr:cNvPr id="4" name="Group 37"/>
        <xdr:cNvGrpSpPr>
          <a:grpSpLocks/>
        </xdr:cNvGrpSpPr>
      </xdr:nvGrpSpPr>
      <xdr:grpSpPr>
        <a:xfrm>
          <a:off x="1038225" y="59064525"/>
          <a:ext cx="10629900" cy="1762125"/>
          <a:chOff x="109" y="6167"/>
          <a:chExt cx="1116" cy="185"/>
        </a:xfrm>
        <a:solidFill>
          <a:srgbClr val="FFFFFF"/>
        </a:solidFill>
      </xdr:grpSpPr>
    </xdr:grpSp>
    <xdr:clientData/>
  </xdr:twoCellAnchor>
  <xdr:twoCellAnchor editAs="oneCell">
    <xdr:from>
      <xdr:col>7</xdr:col>
      <xdr:colOff>695325</xdr:colOff>
      <xdr:row>82</xdr:row>
      <xdr:rowOff>47625</xdr:rowOff>
    </xdr:from>
    <xdr:to>
      <xdr:col>14</xdr:col>
      <xdr:colOff>295275</xdr:colOff>
      <xdr:row>101</xdr:row>
      <xdr:rowOff>133350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13439775"/>
          <a:ext cx="5572125" cy="3162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361950</xdr:colOff>
      <xdr:row>219</xdr:row>
      <xdr:rowOff>142875</xdr:rowOff>
    </xdr:from>
    <xdr:to>
      <xdr:col>12</xdr:col>
      <xdr:colOff>200025</xdr:colOff>
      <xdr:row>251</xdr:row>
      <xdr:rowOff>38100</xdr:rowOff>
    </xdr:to>
    <xdr:pic>
      <xdr:nvPicPr>
        <xdr:cNvPr id="8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36242625"/>
          <a:ext cx="8763000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274</xdr:row>
      <xdr:rowOff>104775</xdr:rowOff>
    </xdr:from>
    <xdr:to>
      <xdr:col>9</xdr:col>
      <xdr:colOff>276225</xdr:colOff>
      <xdr:row>295</xdr:row>
      <xdr:rowOff>9525</xdr:rowOff>
    </xdr:to>
    <xdr:pic>
      <xdr:nvPicPr>
        <xdr:cNvPr id="9" name="Picture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45177075"/>
          <a:ext cx="63150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16</xdr:row>
      <xdr:rowOff>28575</xdr:rowOff>
    </xdr:from>
    <xdr:to>
      <xdr:col>12</xdr:col>
      <xdr:colOff>428625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600075" y="2619375"/>
        <a:ext cx="71437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4"/>
  <sheetViews>
    <sheetView tabSelected="1" workbookViewId="0" topLeftCell="A271">
      <selection activeCell="K275" sqref="K275:Q275"/>
    </sheetView>
  </sheetViews>
  <sheetFormatPr defaultColWidth="9.140625" defaultRowHeight="12.75"/>
  <cols>
    <col min="1" max="1" width="10.00390625" style="0" customWidth="1"/>
    <col min="2" max="2" width="10.7109375" style="0" customWidth="1"/>
    <col min="3" max="3" width="11.00390625" style="0" customWidth="1"/>
    <col min="4" max="4" width="11.421875" style="0" customWidth="1"/>
    <col min="5" max="5" width="13.8515625" style="0" customWidth="1"/>
    <col min="6" max="6" width="14.00390625" style="0" customWidth="1"/>
    <col min="7" max="7" width="11.57421875" style="0" bestFit="1" customWidth="1"/>
    <col min="8" max="8" width="13.421875" style="0" customWidth="1"/>
    <col min="9" max="9" width="12.8515625" style="0" customWidth="1"/>
    <col min="10" max="10" width="12.28125" style="0" customWidth="1"/>
    <col min="11" max="11" width="11.140625" style="0" customWidth="1"/>
    <col min="12" max="12" width="11.57421875" style="0" bestFit="1" customWidth="1"/>
    <col min="13" max="13" width="15.00390625" style="0" customWidth="1"/>
    <col min="14" max="14" width="13.28125" style="2" customWidth="1"/>
    <col min="15" max="15" width="10.57421875" style="0" bestFit="1" customWidth="1"/>
    <col min="16" max="16" width="10.421875" style="0" customWidth="1"/>
    <col min="17" max="17" width="17.57421875" style="0" customWidth="1"/>
  </cols>
  <sheetData>
    <row r="1" spans="1:20" ht="12.75">
      <c r="A1" s="81" t="s">
        <v>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35"/>
      <c r="Q1" s="33"/>
      <c r="R1" s="33"/>
      <c r="S1" s="33"/>
      <c r="T1" s="33"/>
    </row>
    <row r="2" spans="1:20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35"/>
      <c r="Q2" s="33"/>
      <c r="R2" s="33"/>
      <c r="S2" s="33"/>
      <c r="T2" s="33"/>
    </row>
    <row r="3" spans="1:20" ht="12.75">
      <c r="A3" s="81" t="s">
        <v>274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35"/>
      <c r="Q3" s="33"/>
      <c r="R3" s="33"/>
      <c r="S3" s="33"/>
      <c r="T3" s="33"/>
    </row>
    <row r="4" spans="1:20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  <c r="O4" s="33"/>
      <c r="P4" s="33"/>
      <c r="Q4" s="33"/>
      <c r="R4" s="33"/>
      <c r="S4" s="33"/>
      <c r="T4" s="33"/>
    </row>
    <row r="5" spans="1:20" ht="12.75">
      <c r="A5" s="3" t="s">
        <v>56</v>
      </c>
      <c r="B5" s="2" t="s">
        <v>57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3"/>
      <c r="P5" s="33"/>
      <c r="Q5" s="33"/>
      <c r="R5" s="33"/>
      <c r="S5" s="33"/>
      <c r="T5" s="33"/>
    </row>
    <row r="6" spans="1:20" ht="12.75">
      <c r="A6" s="2">
        <v>63</v>
      </c>
      <c r="B6" s="2">
        <v>24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33"/>
      <c r="P6" s="33"/>
      <c r="Q6" s="33"/>
      <c r="R6" s="33"/>
      <c r="S6" s="33"/>
      <c r="T6" s="33"/>
    </row>
    <row r="7" spans="1:20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  <c r="O7" s="33"/>
      <c r="P7" s="33"/>
      <c r="Q7" s="33"/>
      <c r="R7" s="33"/>
      <c r="S7" s="33"/>
      <c r="T7" s="33"/>
    </row>
    <row r="8" spans="1:20" ht="12.75">
      <c r="A8" s="81" t="s">
        <v>58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33"/>
      <c r="Q8" s="33"/>
      <c r="R8" s="33"/>
      <c r="S8" s="33"/>
      <c r="T8" s="33"/>
    </row>
    <row r="9" spans="1:20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  <c r="O9" s="33"/>
      <c r="P9" s="33"/>
      <c r="Q9" s="33"/>
      <c r="R9" s="33"/>
      <c r="S9" s="33"/>
      <c r="T9" s="33"/>
    </row>
    <row r="10" spans="1:20" ht="12.75">
      <c r="A10" s="26">
        <f>0.6*B6</f>
        <v>14.399999999999999</v>
      </c>
      <c r="B10" s="21" t="s">
        <v>59</v>
      </c>
      <c r="C10" s="26">
        <f>1.2*B6</f>
        <v>28.799999999999997</v>
      </c>
      <c r="D10" s="27" t="s">
        <v>60</v>
      </c>
      <c r="E10" s="79" t="s">
        <v>61</v>
      </c>
      <c r="F10" s="79"/>
      <c r="G10" s="26">
        <f>A10/3.6</f>
        <v>3.9999999999999996</v>
      </c>
      <c r="H10" s="21" t="s">
        <v>59</v>
      </c>
      <c r="I10" s="26">
        <f>C10/3.6</f>
        <v>7.999999999999999</v>
      </c>
      <c r="J10" s="27" t="s">
        <v>62</v>
      </c>
      <c r="K10" s="33"/>
      <c r="L10" s="33"/>
      <c r="M10" s="33"/>
      <c r="N10" s="34"/>
      <c r="O10" s="33"/>
      <c r="P10" s="33"/>
      <c r="Q10" s="33"/>
      <c r="R10" s="33"/>
      <c r="S10" s="33"/>
      <c r="T10" s="33"/>
    </row>
    <row r="11" spans="1:20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  <c r="O11" s="33"/>
      <c r="P11" s="33"/>
      <c r="Q11" s="33"/>
      <c r="R11" s="33"/>
      <c r="S11" s="33"/>
      <c r="T11" s="33"/>
    </row>
    <row r="12" spans="1:20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33"/>
      <c r="P12" s="33"/>
      <c r="Q12" s="33"/>
      <c r="R12" s="33"/>
      <c r="S12" s="33"/>
      <c r="T12" s="33"/>
    </row>
    <row r="13" spans="1:20" ht="12.75">
      <c r="A13" s="20" t="s">
        <v>63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3"/>
      <c r="P13" s="33"/>
      <c r="Q13" s="33"/>
      <c r="R13" s="33"/>
      <c r="S13" s="33"/>
      <c r="T13" s="33"/>
    </row>
    <row r="14" spans="1:20" ht="12.75">
      <c r="A14" s="36"/>
      <c r="B14" s="80" t="s">
        <v>70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1" t="s">
        <v>104</v>
      </c>
      <c r="O14" s="81"/>
      <c r="P14" s="81"/>
      <c r="Q14" s="81"/>
      <c r="R14" s="81"/>
      <c r="S14" s="33"/>
      <c r="T14" s="33"/>
    </row>
    <row r="15" spans="1:20" ht="12.75">
      <c r="A15" s="33"/>
      <c r="B15" s="1" t="s">
        <v>64</v>
      </c>
      <c r="C15" s="22">
        <v>708</v>
      </c>
      <c r="D15" s="1" t="s">
        <v>8</v>
      </c>
      <c r="E15" s="37"/>
      <c r="F15" s="1" t="s">
        <v>65</v>
      </c>
      <c r="G15" s="22">
        <v>703</v>
      </c>
      <c r="H15" s="1" t="s">
        <v>8</v>
      </c>
      <c r="I15" s="37"/>
      <c r="J15" s="1" t="s">
        <v>66</v>
      </c>
      <c r="K15" s="22">
        <v>703</v>
      </c>
      <c r="L15" s="1" t="s">
        <v>8</v>
      </c>
      <c r="M15" s="33"/>
      <c r="N15" s="34"/>
      <c r="O15" s="33"/>
      <c r="P15" s="33"/>
      <c r="Q15" s="33"/>
      <c r="R15" s="33"/>
      <c r="S15" s="33"/>
      <c r="T15" s="33"/>
    </row>
    <row r="16" spans="1:20" ht="12.75">
      <c r="A16" s="33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3"/>
      <c r="N16" s="1" t="s">
        <v>105</v>
      </c>
      <c r="O16" s="77" t="s">
        <v>106</v>
      </c>
      <c r="P16" s="77"/>
      <c r="Q16" s="77"/>
      <c r="R16" s="1" t="s">
        <v>107</v>
      </c>
      <c r="S16" s="33"/>
      <c r="T16" s="33"/>
    </row>
    <row r="17" spans="1:20" ht="12.75">
      <c r="A17" s="33"/>
      <c r="B17" s="1" t="s">
        <v>67</v>
      </c>
      <c r="C17" s="22">
        <v>722</v>
      </c>
      <c r="D17" s="1" t="s">
        <v>8</v>
      </c>
      <c r="E17" s="37"/>
      <c r="F17" s="1" t="s">
        <v>68</v>
      </c>
      <c r="G17" s="22">
        <v>738</v>
      </c>
      <c r="H17" s="1" t="s">
        <v>8</v>
      </c>
      <c r="I17" s="37"/>
      <c r="J17" s="1" t="s">
        <v>69</v>
      </c>
      <c r="K17" s="22">
        <v>745</v>
      </c>
      <c r="L17" s="1" t="s">
        <v>8</v>
      </c>
      <c r="M17" s="33"/>
      <c r="N17" s="1">
        <v>1</v>
      </c>
      <c r="O17" s="77" t="s">
        <v>109</v>
      </c>
      <c r="P17" s="77"/>
      <c r="Q17" s="77"/>
      <c r="R17" s="2">
        <v>1.1</v>
      </c>
      <c r="S17" s="33"/>
      <c r="T17" s="33"/>
    </row>
    <row r="18" spans="1:20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1">
        <v>2</v>
      </c>
      <c r="O18" s="77" t="s">
        <v>108</v>
      </c>
      <c r="P18" s="77"/>
      <c r="Q18" s="77"/>
      <c r="R18" s="2">
        <v>0.5</v>
      </c>
      <c r="S18" s="33"/>
      <c r="T18" s="33"/>
    </row>
    <row r="19" spans="1:20" ht="12.75">
      <c r="A19" s="33"/>
      <c r="B19" s="80" t="s">
        <v>71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33"/>
      <c r="N19" s="1">
        <v>3</v>
      </c>
      <c r="O19" s="77" t="s">
        <v>110</v>
      </c>
      <c r="P19" s="77"/>
      <c r="Q19" s="77"/>
      <c r="R19" s="2">
        <v>4.11</v>
      </c>
      <c r="S19" s="33"/>
      <c r="T19" s="33"/>
    </row>
    <row r="20" spans="1:20" ht="12.75">
      <c r="A20" s="33"/>
      <c r="B20" s="1" t="s">
        <v>72</v>
      </c>
      <c r="C20" s="22">
        <v>3.5</v>
      </c>
      <c r="D20" s="1" t="s">
        <v>8</v>
      </c>
      <c r="E20" s="37"/>
      <c r="F20" s="1" t="s">
        <v>73</v>
      </c>
      <c r="G20" s="23">
        <v>7</v>
      </c>
      <c r="H20" s="1" t="s">
        <v>8</v>
      </c>
      <c r="I20" s="37"/>
      <c r="J20" s="1" t="s">
        <v>74</v>
      </c>
      <c r="K20" s="22">
        <v>3.5</v>
      </c>
      <c r="L20" s="1" t="s">
        <v>8</v>
      </c>
      <c r="M20" s="33"/>
      <c r="N20" s="1">
        <v>4</v>
      </c>
      <c r="O20" s="77" t="s">
        <v>111</v>
      </c>
      <c r="P20" s="77"/>
      <c r="Q20" s="77"/>
      <c r="R20" s="2">
        <v>1.64</v>
      </c>
      <c r="S20" s="33"/>
      <c r="T20" s="33"/>
    </row>
    <row r="21" spans="1:20" ht="12.75">
      <c r="A21" s="33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3"/>
      <c r="N21" s="1">
        <v>5</v>
      </c>
      <c r="O21" s="77" t="s">
        <v>108</v>
      </c>
      <c r="P21" s="77"/>
      <c r="Q21" s="77"/>
      <c r="R21" s="2">
        <v>0.5</v>
      </c>
      <c r="S21" s="33"/>
      <c r="T21" s="33"/>
    </row>
    <row r="22" spans="1:20" ht="12.75">
      <c r="A22" s="33"/>
      <c r="B22" s="1" t="s">
        <v>270</v>
      </c>
      <c r="C22" s="23">
        <v>7</v>
      </c>
      <c r="D22" s="1" t="s">
        <v>8</v>
      </c>
      <c r="E22" s="37"/>
      <c r="F22" s="1" t="s">
        <v>76</v>
      </c>
      <c r="G22" s="23">
        <v>8</v>
      </c>
      <c r="H22" s="1" t="s">
        <v>8</v>
      </c>
      <c r="I22" s="37"/>
      <c r="J22" s="1" t="s">
        <v>75</v>
      </c>
      <c r="K22" s="23">
        <v>8</v>
      </c>
      <c r="L22" s="1" t="s">
        <v>261</v>
      </c>
      <c r="M22" s="33"/>
      <c r="N22" s="1">
        <v>6</v>
      </c>
      <c r="O22" s="77" t="s">
        <v>112</v>
      </c>
      <c r="P22" s="77"/>
      <c r="Q22" s="77"/>
      <c r="R22" s="2">
        <v>0.34</v>
      </c>
      <c r="S22" s="33"/>
      <c r="T22" s="33"/>
    </row>
    <row r="23" spans="1:20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1">
        <v>6</v>
      </c>
      <c r="O23" s="77" t="s">
        <v>113</v>
      </c>
      <c r="P23" s="77"/>
      <c r="Q23" s="77"/>
      <c r="R23" s="2">
        <v>1.29</v>
      </c>
      <c r="S23" s="33"/>
      <c r="T23" s="33"/>
    </row>
    <row r="24" spans="1:20" ht="12.75">
      <c r="A24" s="33"/>
      <c r="B24" s="1" t="s">
        <v>77</v>
      </c>
      <c r="C24" s="5">
        <v>85</v>
      </c>
      <c r="D24" s="1" t="s">
        <v>8</v>
      </c>
      <c r="E24" s="33"/>
      <c r="F24" s="1" t="s">
        <v>78</v>
      </c>
      <c r="G24" s="22">
        <v>1.5</v>
      </c>
      <c r="H24" s="1" t="s">
        <v>8</v>
      </c>
      <c r="I24" s="33"/>
      <c r="J24" s="1" t="s">
        <v>271</v>
      </c>
      <c r="K24" s="68">
        <v>72</v>
      </c>
      <c r="L24" s="1" t="s">
        <v>261</v>
      </c>
      <c r="M24" s="33"/>
      <c r="N24" s="1">
        <v>7</v>
      </c>
      <c r="O24" s="77" t="s">
        <v>114</v>
      </c>
      <c r="P24" s="77"/>
      <c r="Q24" s="77"/>
      <c r="R24" s="2">
        <v>1.88</v>
      </c>
      <c r="S24" s="33"/>
      <c r="T24" s="33"/>
    </row>
    <row r="25" spans="1:20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1">
        <v>8</v>
      </c>
      <c r="O25" s="77" t="s">
        <v>115</v>
      </c>
      <c r="P25" s="77"/>
      <c r="Q25" s="77"/>
      <c r="R25" s="2">
        <v>0.4</v>
      </c>
      <c r="S25" s="33"/>
      <c r="T25" s="33"/>
    </row>
    <row r="26" spans="1:20" ht="12.75">
      <c r="A26" s="33"/>
      <c r="B26" s="80" t="s">
        <v>79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33"/>
      <c r="N26" s="1">
        <v>9</v>
      </c>
      <c r="O26" s="77" t="s">
        <v>116</v>
      </c>
      <c r="P26" s="77"/>
      <c r="Q26" s="77"/>
      <c r="R26" s="2">
        <v>2.74</v>
      </c>
      <c r="S26" s="33"/>
      <c r="T26" s="33"/>
    </row>
    <row r="27" spans="1:20" ht="12.75">
      <c r="A27" s="33"/>
      <c r="B27" s="24" t="s">
        <v>80</v>
      </c>
      <c r="C27" s="33"/>
      <c r="D27" s="24" t="s">
        <v>81</v>
      </c>
      <c r="E27" s="2">
        <v>77.9</v>
      </c>
      <c r="F27" s="24" t="s">
        <v>84</v>
      </c>
      <c r="G27" s="33"/>
      <c r="H27" s="24" t="s">
        <v>82</v>
      </c>
      <c r="I27" s="2">
        <v>47.7</v>
      </c>
      <c r="J27" s="24" t="s">
        <v>83</v>
      </c>
      <c r="K27" s="33"/>
      <c r="L27" s="33"/>
      <c r="M27" s="33"/>
      <c r="N27" s="1">
        <v>10</v>
      </c>
      <c r="O27" s="77" t="s">
        <v>117</v>
      </c>
      <c r="P27" s="77"/>
      <c r="Q27" s="77"/>
      <c r="R27" s="2">
        <v>17.4</v>
      </c>
      <c r="S27" s="33"/>
      <c r="T27" s="33"/>
    </row>
    <row r="28" spans="1:20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1">
        <v>11</v>
      </c>
      <c r="O28" s="77" t="s">
        <v>114</v>
      </c>
      <c r="P28" s="77"/>
      <c r="Q28" s="77"/>
      <c r="R28" s="2">
        <v>1.88</v>
      </c>
      <c r="S28" s="33"/>
      <c r="T28" s="33"/>
    </row>
    <row r="29" spans="1:20" ht="12.75">
      <c r="A29" s="33"/>
      <c r="B29" s="24" t="s">
        <v>85</v>
      </c>
      <c r="C29" s="33"/>
      <c r="D29" s="24" t="s">
        <v>81</v>
      </c>
      <c r="E29" s="2">
        <v>52.5</v>
      </c>
      <c r="F29" s="24" t="s">
        <v>84</v>
      </c>
      <c r="G29" s="33"/>
      <c r="H29" s="24" t="s">
        <v>82</v>
      </c>
      <c r="I29" s="2">
        <v>21.7</v>
      </c>
      <c r="J29" s="24" t="s">
        <v>83</v>
      </c>
      <c r="K29" s="33"/>
      <c r="L29" s="33"/>
      <c r="M29" s="33"/>
      <c r="N29" s="1">
        <v>12</v>
      </c>
      <c r="O29" s="77" t="s">
        <v>118</v>
      </c>
      <c r="P29" s="77"/>
      <c r="Q29" s="77"/>
      <c r="R29" s="2">
        <v>0.33</v>
      </c>
      <c r="S29" s="33"/>
      <c r="T29" s="33"/>
    </row>
    <row r="30" spans="1:20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1">
        <v>12</v>
      </c>
      <c r="O30" s="77" t="s">
        <v>116</v>
      </c>
      <c r="P30" s="77"/>
      <c r="Q30" s="77"/>
      <c r="R30" s="2">
        <v>2.74</v>
      </c>
      <c r="S30" s="33"/>
      <c r="T30" s="33"/>
    </row>
    <row r="31" spans="1:20" ht="12.75">
      <c r="A31" s="33"/>
      <c r="B31" s="24" t="s">
        <v>86</v>
      </c>
      <c r="C31" s="33"/>
      <c r="D31" s="24" t="s">
        <v>81</v>
      </c>
      <c r="E31" s="2">
        <v>40.8</v>
      </c>
      <c r="F31" s="24" t="s">
        <v>84</v>
      </c>
      <c r="G31" s="33"/>
      <c r="H31" s="24" t="s">
        <v>82</v>
      </c>
      <c r="I31" s="2">
        <v>13.1</v>
      </c>
      <c r="J31" s="24" t="s">
        <v>83</v>
      </c>
      <c r="K31" s="33"/>
      <c r="L31" s="33"/>
      <c r="M31" s="33"/>
      <c r="N31" s="1">
        <v>13</v>
      </c>
      <c r="O31" s="77" t="s">
        <v>115</v>
      </c>
      <c r="P31" s="77"/>
      <c r="Q31" s="77"/>
      <c r="R31" s="2">
        <v>0.4</v>
      </c>
      <c r="S31" s="33"/>
      <c r="T31" s="33"/>
    </row>
    <row r="32" spans="1:20" ht="12.75">
      <c r="A32" s="33"/>
      <c r="B32" s="38"/>
      <c r="C32" s="33"/>
      <c r="D32" s="38"/>
      <c r="E32" s="34"/>
      <c r="F32" s="38"/>
      <c r="G32" s="33"/>
      <c r="H32" s="38"/>
      <c r="I32" s="34"/>
      <c r="J32" s="38"/>
      <c r="K32" s="33"/>
      <c r="L32" s="33"/>
      <c r="M32" s="33"/>
      <c r="N32" s="1">
        <v>14</v>
      </c>
      <c r="O32" s="77" t="s">
        <v>119</v>
      </c>
      <c r="P32" s="77"/>
      <c r="Q32" s="77"/>
      <c r="R32" s="2">
        <v>1.04</v>
      </c>
      <c r="S32" s="33"/>
      <c r="T32" s="33"/>
    </row>
    <row r="33" spans="1:20" ht="12.75">
      <c r="A33" s="33"/>
      <c r="B33" s="24" t="s">
        <v>97</v>
      </c>
      <c r="C33" s="31">
        <v>4.6E-05</v>
      </c>
      <c r="D33" s="24" t="s">
        <v>8</v>
      </c>
      <c r="E33" s="34"/>
      <c r="F33" s="38"/>
      <c r="G33" s="33"/>
      <c r="H33" s="38"/>
      <c r="I33" s="34"/>
      <c r="J33" s="38"/>
      <c r="K33" s="33"/>
      <c r="L33" s="33"/>
      <c r="M33" s="33"/>
      <c r="N33" s="1">
        <v>15</v>
      </c>
      <c r="O33" s="77" t="s">
        <v>114</v>
      </c>
      <c r="P33" s="77"/>
      <c r="Q33" s="77"/>
      <c r="R33" s="2">
        <v>1.88</v>
      </c>
      <c r="S33" s="33"/>
      <c r="T33" s="33"/>
    </row>
    <row r="34" spans="1:20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1">
        <v>16</v>
      </c>
      <c r="O34" s="77" t="s">
        <v>114</v>
      </c>
      <c r="P34" s="77"/>
      <c r="Q34" s="77"/>
      <c r="R34" s="2">
        <v>1.88</v>
      </c>
      <c r="S34" s="33"/>
      <c r="T34" s="33"/>
    </row>
    <row r="35" spans="1:20" ht="12.75">
      <c r="A35" s="33"/>
      <c r="B35" s="80" t="s">
        <v>87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33"/>
      <c r="N35" s="1">
        <v>17</v>
      </c>
      <c r="O35" s="77" t="s">
        <v>120</v>
      </c>
      <c r="P35" s="77"/>
      <c r="Q35" s="77"/>
      <c r="R35" s="2">
        <v>0.38</v>
      </c>
      <c r="S35" s="33"/>
      <c r="T35" s="33"/>
    </row>
    <row r="36" spans="1:20" ht="12.75">
      <c r="A36" s="33"/>
      <c r="B36" s="29" t="s">
        <v>90</v>
      </c>
      <c r="C36" s="28">
        <v>997</v>
      </c>
      <c r="D36" s="25" t="s">
        <v>88</v>
      </c>
      <c r="E36" s="39"/>
      <c r="F36" s="29" t="s">
        <v>91</v>
      </c>
      <c r="G36" s="30">
        <v>0.00089</v>
      </c>
      <c r="H36" s="25" t="s">
        <v>89</v>
      </c>
      <c r="I36" s="33"/>
      <c r="J36" s="33"/>
      <c r="K36" s="33"/>
      <c r="L36" s="33"/>
      <c r="M36" s="33"/>
      <c r="N36" s="1">
        <v>18</v>
      </c>
      <c r="O36" s="77" t="s">
        <v>121</v>
      </c>
      <c r="P36" s="77"/>
      <c r="Q36" s="77"/>
      <c r="R36" s="2">
        <v>1.41</v>
      </c>
      <c r="S36" s="33"/>
      <c r="T36" s="33"/>
    </row>
    <row r="37" spans="1:20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1">
        <v>19</v>
      </c>
      <c r="O37" s="77" t="s">
        <v>121</v>
      </c>
      <c r="P37" s="77"/>
      <c r="Q37" s="77"/>
      <c r="R37" s="2">
        <v>1.41</v>
      </c>
      <c r="S37" s="33"/>
      <c r="T37" s="33"/>
    </row>
    <row r="38" spans="1:20" ht="12.75">
      <c r="A38" s="33"/>
      <c r="B38" s="81" t="s">
        <v>92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33"/>
      <c r="N38" s="1">
        <v>20</v>
      </c>
      <c r="O38" s="77" t="s">
        <v>122</v>
      </c>
      <c r="P38" s="77"/>
      <c r="Q38" s="77"/>
      <c r="R38" s="2">
        <v>0.3</v>
      </c>
      <c r="S38" s="33"/>
      <c r="T38" s="33"/>
    </row>
    <row r="39" spans="1:20" ht="12.75">
      <c r="A39" s="33"/>
      <c r="B39" s="32" t="s">
        <v>93</v>
      </c>
      <c r="C39" s="2">
        <v>9.8</v>
      </c>
      <c r="D39" s="32" t="s">
        <v>94</v>
      </c>
      <c r="E39" s="34"/>
      <c r="F39" s="32" t="s">
        <v>96</v>
      </c>
      <c r="G39" s="2">
        <v>0.92</v>
      </c>
      <c r="H39" s="32" t="s">
        <v>95</v>
      </c>
      <c r="I39" s="33"/>
      <c r="J39" s="33"/>
      <c r="K39" s="33"/>
      <c r="L39" s="33"/>
      <c r="M39" s="33"/>
      <c r="N39" s="1">
        <v>21</v>
      </c>
      <c r="O39" s="77" t="s">
        <v>123</v>
      </c>
      <c r="P39" s="77"/>
      <c r="Q39" s="77"/>
      <c r="R39" s="2">
        <v>0.82</v>
      </c>
      <c r="S39" s="33"/>
      <c r="T39" s="33"/>
    </row>
    <row r="40" spans="1:20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1">
        <v>22</v>
      </c>
      <c r="O40" s="77" t="s">
        <v>121</v>
      </c>
      <c r="P40" s="77"/>
      <c r="Q40" s="77"/>
      <c r="R40" s="2">
        <v>1.41</v>
      </c>
      <c r="S40" s="33"/>
      <c r="T40" s="33"/>
    </row>
    <row r="41" spans="1:20" ht="12.75">
      <c r="A41" s="33"/>
      <c r="B41" s="81" t="s">
        <v>98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33"/>
      <c r="N41" s="1">
        <v>23</v>
      </c>
      <c r="O41" s="77" t="s">
        <v>108</v>
      </c>
      <c r="P41" s="77"/>
      <c r="Q41" s="77"/>
      <c r="R41" s="2">
        <v>0.5</v>
      </c>
      <c r="S41" s="33"/>
      <c r="T41" s="33"/>
    </row>
    <row r="42" spans="1:20" ht="12.75">
      <c r="A42" s="33"/>
      <c r="B42" s="1" t="s">
        <v>99</v>
      </c>
      <c r="C42" s="2">
        <v>70</v>
      </c>
      <c r="D42" s="1" t="s">
        <v>100</v>
      </c>
      <c r="E42" s="33"/>
      <c r="F42" s="1" t="s">
        <v>101</v>
      </c>
      <c r="G42" s="2"/>
      <c r="H42" s="1" t="s">
        <v>100</v>
      </c>
      <c r="I42" s="33"/>
      <c r="J42" s="1" t="s">
        <v>102</v>
      </c>
      <c r="K42" s="2">
        <v>29311.8</v>
      </c>
      <c r="L42" s="1" t="s">
        <v>103</v>
      </c>
      <c r="M42" s="33"/>
      <c r="N42" s="1">
        <v>24</v>
      </c>
      <c r="O42" s="77" t="s">
        <v>111</v>
      </c>
      <c r="P42" s="77"/>
      <c r="Q42" s="77"/>
      <c r="R42" s="2">
        <v>1.64</v>
      </c>
      <c r="S42" s="33"/>
      <c r="T42" s="33"/>
    </row>
    <row r="43" spans="1:20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1">
        <v>25</v>
      </c>
      <c r="O43" s="77" t="s">
        <v>124</v>
      </c>
      <c r="P43" s="77"/>
      <c r="Q43" s="77"/>
      <c r="R43" s="2">
        <v>3.25</v>
      </c>
      <c r="S43" s="33"/>
      <c r="T43" s="33"/>
    </row>
    <row r="44" spans="1:20" ht="12.75">
      <c r="A44" s="33"/>
      <c r="B44" s="77" t="s">
        <v>127</v>
      </c>
      <c r="C44" s="77"/>
      <c r="D44" s="77" t="s">
        <v>128</v>
      </c>
      <c r="E44" s="77"/>
      <c r="F44" s="77"/>
      <c r="G44" s="33"/>
      <c r="H44" s="33"/>
      <c r="I44" s="33"/>
      <c r="J44" s="33"/>
      <c r="K44" s="33"/>
      <c r="L44" s="33"/>
      <c r="M44" s="33"/>
      <c r="N44" s="1">
        <v>26</v>
      </c>
      <c r="O44" s="77" t="s">
        <v>115</v>
      </c>
      <c r="P44" s="77"/>
      <c r="Q44" s="77"/>
      <c r="R44" s="2">
        <v>0.4</v>
      </c>
      <c r="S44" s="33"/>
      <c r="T44" s="33"/>
    </row>
    <row r="45" spans="1:20" ht="12.75">
      <c r="A45" s="33"/>
      <c r="B45" s="33"/>
      <c r="C45" s="33"/>
      <c r="D45" s="33"/>
      <c r="E45" s="33"/>
      <c r="F45" s="33"/>
      <c r="G45" s="33"/>
      <c r="H45" s="76"/>
      <c r="I45" s="76"/>
      <c r="J45" s="76"/>
      <c r="K45" s="76"/>
      <c r="L45" s="76"/>
      <c r="M45" s="76"/>
      <c r="N45" s="1">
        <v>27</v>
      </c>
      <c r="O45" s="77" t="s">
        <v>119</v>
      </c>
      <c r="P45" s="77"/>
      <c r="Q45" s="77"/>
      <c r="R45" s="2">
        <v>1.04</v>
      </c>
      <c r="S45" s="33"/>
      <c r="T45" s="33"/>
    </row>
    <row r="46" spans="1:20" ht="12.75">
      <c r="A46" s="33"/>
      <c r="B46" s="33"/>
      <c r="C46" s="33"/>
      <c r="D46" s="1" t="s">
        <v>129</v>
      </c>
      <c r="E46" s="2">
        <v>5.6</v>
      </c>
      <c r="F46" s="1" t="s">
        <v>62</v>
      </c>
      <c r="G46" s="33"/>
      <c r="H46" s="33"/>
      <c r="I46" s="33"/>
      <c r="J46" s="34"/>
      <c r="K46" s="33"/>
      <c r="L46" s="33"/>
      <c r="M46" s="33"/>
      <c r="N46" s="1">
        <v>28</v>
      </c>
      <c r="O46" s="77" t="s">
        <v>118</v>
      </c>
      <c r="P46" s="77"/>
      <c r="Q46" s="77"/>
      <c r="R46" s="2">
        <v>0.33</v>
      </c>
      <c r="S46" s="33"/>
      <c r="T46" s="33"/>
    </row>
    <row r="47" spans="1:20" ht="12.75">
      <c r="A47" s="33"/>
      <c r="B47" s="33"/>
      <c r="C47" s="33"/>
      <c r="D47" s="33"/>
      <c r="E47" s="33"/>
      <c r="F47" s="33"/>
      <c r="G47" s="33"/>
      <c r="H47" s="33"/>
      <c r="I47" s="33"/>
      <c r="J47" s="37"/>
      <c r="K47" s="69"/>
      <c r="L47" s="37"/>
      <c r="M47" s="33"/>
      <c r="N47" s="1">
        <v>28</v>
      </c>
      <c r="O47" s="77" t="s">
        <v>116</v>
      </c>
      <c r="P47" s="77"/>
      <c r="Q47" s="77"/>
      <c r="R47" s="2">
        <v>2.74</v>
      </c>
      <c r="S47" s="33"/>
      <c r="T47" s="33"/>
    </row>
    <row r="48" spans="1:20" ht="12.75">
      <c r="A48" s="33"/>
      <c r="B48" s="33"/>
      <c r="C48" s="33"/>
      <c r="D48" s="77" t="s">
        <v>130</v>
      </c>
      <c r="E48" s="77"/>
      <c r="F48" s="77"/>
      <c r="G48" s="33"/>
      <c r="H48" s="33"/>
      <c r="I48" s="33"/>
      <c r="J48" s="34"/>
      <c r="K48" s="33"/>
      <c r="L48" s="33"/>
      <c r="M48" s="33"/>
      <c r="N48" s="1">
        <v>29</v>
      </c>
      <c r="O48" s="77" t="s">
        <v>115</v>
      </c>
      <c r="P48" s="77"/>
      <c r="Q48" s="77"/>
      <c r="R48" s="2">
        <v>0.4</v>
      </c>
      <c r="S48" s="33"/>
      <c r="T48" s="33"/>
    </row>
    <row r="49" spans="1:20" ht="12.75">
      <c r="A49" s="33"/>
      <c r="B49" s="33"/>
      <c r="C49" s="33"/>
      <c r="D49" s="33"/>
      <c r="E49" s="33"/>
      <c r="F49" s="33"/>
      <c r="G49" s="33"/>
      <c r="H49" s="33"/>
      <c r="I49" s="33"/>
      <c r="J49" s="70"/>
      <c r="K49" s="34"/>
      <c r="L49" s="37"/>
      <c r="M49" s="33"/>
      <c r="N49" s="1">
        <v>30</v>
      </c>
      <c r="O49" s="77" t="s">
        <v>114</v>
      </c>
      <c r="P49" s="77"/>
      <c r="Q49" s="77"/>
      <c r="R49" s="2">
        <v>1.88</v>
      </c>
      <c r="S49" s="33"/>
      <c r="T49" s="33"/>
    </row>
    <row r="50" spans="1:20" ht="12.75">
      <c r="A50" s="33"/>
      <c r="B50" s="33"/>
      <c r="C50" s="79"/>
      <c r="D50" s="79"/>
      <c r="E50" s="79"/>
      <c r="F50" s="79"/>
      <c r="G50" s="79"/>
      <c r="H50" s="79"/>
      <c r="I50" s="79"/>
      <c r="J50" s="79"/>
      <c r="K50" s="33"/>
      <c r="L50" s="33"/>
      <c r="M50" s="33"/>
      <c r="N50" s="1">
        <v>31</v>
      </c>
      <c r="O50" s="77" t="s">
        <v>114</v>
      </c>
      <c r="P50" s="77"/>
      <c r="Q50" s="77"/>
      <c r="R50" s="2">
        <v>1.88</v>
      </c>
      <c r="S50" s="33"/>
      <c r="T50" s="33"/>
    </row>
    <row r="51" spans="1:20" ht="12.75">
      <c r="A51" s="33"/>
      <c r="B51" s="33"/>
      <c r="C51" s="79"/>
      <c r="D51" s="79"/>
      <c r="E51" s="79"/>
      <c r="F51" s="79"/>
      <c r="G51" s="79"/>
      <c r="H51" s="79"/>
      <c r="I51" s="79"/>
      <c r="J51" s="79"/>
      <c r="K51" s="33"/>
      <c r="L51" s="33"/>
      <c r="M51" s="33"/>
      <c r="N51" s="1">
        <v>32</v>
      </c>
      <c r="O51" s="77" t="s">
        <v>115</v>
      </c>
      <c r="P51" s="77"/>
      <c r="Q51" s="77"/>
      <c r="R51" s="2">
        <v>0.4</v>
      </c>
      <c r="S51" s="33"/>
      <c r="T51" s="33"/>
    </row>
    <row r="52" spans="1:20" ht="12.75">
      <c r="A52" s="33"/>
      <c r="B52" s="33"/>
      <c r="C52" s="79"/>
      <c r="D52" s="79"/>
      <c r="E52" s="79"/>
      <c r="F52" s="79"/>
      <c r="G52" s="79"/>
      <c r="H52" s="79"/>
      <c r="I52" s="79"/>
      <c r="J52" s="79"/>
      <c r="K52" s="33"/>
      <c r="L52" s="33"/>
      <c r="M52" s="33"/>
      <c r="N52" s="1">
        <v>33</v>
      </c>
      <c r="O52" s="77" t="s">
        <v>119</v>
      </c>
      <c r="P52" s="77"/>
      <c r="Q52" s="77"/>
      <c r="R52" s="2">
        <v>1.04</v>
      </c>
      <c r="S52" s="33"/>
      <c r="T52" s="33"/>
    </row>
    <row r="53" spans="1:20" ht="12.75">
      <c r="A53" s="33"/>
      <c r="B53" s="33"/>
      <c r="C53" s="79"/>
      <c r="D53" s="79"/>
      <c r="E53" s="79"/>
      <c r="F53" s="79"/>
      <c r="G53" s="79"/>
      <c r="H53" s="79"/>
      <c r="I53" s="79"/>
      <c r="J53" s="79"/>
      <c r="K53" s="33"/>
      <c r="L53" s="33"/>
      <c r="M53" s="33"/>
      <c r="N53" s="1">
        <v>34</v>
      </c>
      <c r="O53" s="77" t="s">
        <v>115</v>
      </c>
      <c r="P53" s="77"/>
      <c r="Q53" s="77"/>
      <c r="R53" s="2">
        <v>0.4</v>
      </c>
      <c r="S53" s="33"/>
      <c r="T53" s="33"/>
    </row>
    <row r="54" spans="1:20" ht="12.75">
      <c r="A54" s="33"/>
      <c r="B54" s="33"/>
      <c r="C54" s="79"/>
      <c r="D54" s="79"/>
      <c r="E54" s="79"/>
      <c r="F54" s="79"/>
      <c r="G54" s="79"/>
      <c r="H54" s="79"/>
      <c r="I54" s="79"/>
      <c r="J54" s="79"/>
      <c r="K54" s="33"/>
      <c r="L54" s="33"/>
      <c r="M54" s="33"/>
      <c r="N54" s="1">
        <v>35</v>
      </c>
      <c r="O54" s="77" t="s">
        <v>114</v>
      </c>
      <c r="P54" s="77"/>
      <c r="Q54" s="77"/>
      <c r="R54" s="2">
        <v>1.88</v>
      </c>
      <c r="S54" s="33"/>
      <c r="T54" s="33"/>
    </row>
    <row r="55" spans="1:20" ht="12.75">
      <c r="A55" s="33"/>
      <c r="B55" s="33"/>
      <c r="C55" s="79"/>
      <c r="D55" s="79"/>
      <c r="E55" s="79"/>
      <c r="F55" s="79"/>
      <c r="G55" s="79"/>
      <c r="H55" s="79"/>
      <c r="I55" s="79"/>
      <c r="J55" s="79"/>
      <c r="K55" s="33"/>
      <c r="L55" s="33"/>
      <c r="M55" s="33"/>
      <c r="N55" s="1">
        <v>36</v>
      </c>
      <c r="O55" s="77" t="s">
        <v>115</v>
      </c>
      <c r="P55" s="77"/>
      <c r="Q55" s="77"/>
      <c r="R55" s="2">
        <v>0.4</v>
      </c>
      <c r="S55" s="33"/>
      <c r="T55" s="33"/>
    </row>
    <row r="56" spans="1:20" ht="12.75">
      <c r="A56" s="33"/>
      <c r="B56" s="33"/>
      <c r="C56" s="79"/>
      <c r="D56" s="79"/>
      <c r="E56" s="79"/>
      <c r="F56" s="79"/>
      <c r="G56" s="79"/>
      <c r="H56" s="79"/>
      <c r="I56" s="79"/>
      <c r="J56" s="79"/>
      <c r="K56" s="33"/>
      <c r="L56" s="33"/>
      <c r="M56" s="33"/>
      <c r="N56" s="1">
        <v>37</v>
      </c>
      <c r="O56" s="77" t="s">
        <v>114</v>
      </c>
      <c r="P56" s="77"/>
      <c r="Q56" s="77"/>
      <c r="R56" s="2">
        <v>1.88</v>
      </c>
      <c r="S56" s="33"/>
      <c r="T56" s="33"/>
    </row>
    <row r="57" spans="1:20" ht="12.75">
      <c r="A57" s="33"/>
      <c r="B57" s="33"/>
      <c r="C57" s="79"/>
      <c r="D57" s="79"/>
      <c r="E57" s="79"/>
      <c r="F57" s="79"/>
      <c r="G57" s="79"/>
      <c r="H57" s="79"/>
      <c r="I57" s="79"/>
      <c r="J57" s="79"/>
      <c r="K57" s="33"/>
      <c r="L57" s="33"/>
      <c r="M57" s="33"/>
      <c r="N57" s="1" t="s">
        <v>126</v>
      </c>
      <c r="O57" s="77" t="s">
        <v>125</v>
      </c>
      <c r="P57" s="77"/>
      <c r="Q57" s="77"/>
      <c r="R57" s="2">
        <v>0.01</v>
      </c>
      <c r="S57" s="33"/>
      <c r="T57" s="33"/>
    </row>
    <row r="58" spans="1:20" ht="12.75">
      <c r="A58" s="33"/>
      <c r="B58" s="33"/>
      <c r="C58" s="79"/>
      <c r="D58" s="79"/>
      <c r="E58" s="79"/>
      <c r="F58" s="79"/>
      <c r="G58" s="79"/>
      <c r="H58" s="79"/>
      <c r="I58" s="79"/>
      <c r="J58" s="79"/>
      <c r="K58" s="33"/>
      <c r="L58" s="33"/>
      <c r="M58" s="33"/>
      <c r="N58" s="34"/>
      <c r="O58" s="33"/>
      <c r="P58" s="33"/>
      <c r="Q58" s="33"/>
      <c r="R58" s="33"/>
      <c r="S58" s="33"/>
      <c r="T58" s="33"/>
    </row>
    <row r="59" spans="1:20" ht="12.75">
      <c r="A59" s="33"/>
      <c r="B59" s="33"/>
      <c r="C59" s="79"/>
      <c r="D59" s="79"/>
      <c r="E59" s="79"/>
      <c r="F59" s="79"/>
      <c r="G59" s="79"/>
      <c r="H59" s="79"/>
      <c r="I59" s="79"/>
      <c r="J59" s="79"/>
      <c r="K59" s="33"/>
      <c r="L59" s="77" t="s">
        <v>131</v>
      </c>
      <c r="M59" s="77"/>
      <c r="N59" s="77"/>
      <c r="O59" s="77"/>
      <c r="P59" s="77"/>
      <c r="Q59" s="77"/>
      <c r="R59" s="33"/>
      <c r="S59" s="33"/>
      <c r="T59" s="33"/>
    </row>
    <row r="60" spans="1:20" ht="12.75">
      <c r="A60" s="33"/>
      <c r="B60" s="33"/>
      <c r="C60" s="79"/>
      <c r="D60" s="79"/>
      <c r="E60" s="79"/>
      <c r="F60" s="79"/>
      <c r="G60" s="79"/>
      <c r="H60" s="79"/>
      <c r="I60" s="79"/>
      <c r="J60" s="79"/>
      <c r="K60" s="33"/>
      <c r="L60" s="33"/>
      <c r="M60" s="33"/>
      <c r="N60" s="34"/>
      <c r="O60" s="33"/>
      <c r="P60" s="33"/>
      <c r="Q60" s="33"/>
      <c r="R60" s="33"/>
      <c r="S60" s="33"/>
      <c r="T60" s="33"/>
    </row>
    <row r="61" spans="1:20" ht="12.75">
      <c r="A61" s="33"/>
      <c r="B61" s="33"/>
      <c r="C61" s="79"/>
      <c r="D61" s="79"/>
      <c r="E61" s="79"/>
      <c r="F61" s="79"/>
      <c r="G61" s="79"/>
      <c r="H61" s="79"/>
      <c r="I61" s="79"/>
      <c r="J61" s="79"/>
      <c r="K61" s="33"/>
      <c r="L61" s="33"/>
      <c r="M61" s="33"/>
      <c r="N61" s="1" t="s">
        <v>132</v>
      </c>
      <c r="O61" s="2">
        <f>C20</f>
        <v>3.5</v>
      </c>
      <c r="P61" s="1" t="s">
        <v>8</v>
      </c>
      <c r="Q61" s="33"/>
      <c r="R61" s="33"/>
      <c r="S61" s="33"/>
      <c r="T61" s="33"/>
    </row>
    <row r="62" spans="1:20" ht="12.75">
      <c r="A62" s="33"/>
      <c r="B62" s="33"/>
      <c r="C62" s="79"/>
      <c r="D62" s="79"/>
      <c r="E62" s="79"/>
      <c r="F62" s="79"/>
      <c r="G62" s="79"/>
      <c r="H62" s="79"/>
      <c r="I62" s="79"/>
      <c r="J62" s="79"/>
      <c r="K62" s="33"/>
      <c r="L62" s="33"/>
      <c r="M62" s="33"/>
      <c r="N62" s="34"/>
      <c r="O62" s="33"/>
      <c r="P62" s="33"/>
      <c r="Q62" s="33"/>
      <c r="R62" s="33"/>
      <c r="S62" s="33"/>
      <c r="T62" s="33"/>
    </row>
    <row r="63" spans="1:20" ht="12.75">
      <c r="A63" s="33"/>
      <c r="B63" s="33"/>
      <c r="C63" s="79"/>
      <c r="D63" s="79"/>
      <c r="E63" s="79"/>
      <c r="F63" s="79"/>
      <c r="G63" s="79"/>
      <c r="H63" s="79"/>
      <c r="I63" s="79"/>
      <c r="J63" s="79"/>
      <c r="K63" s="33"/>
      <c r="L63" s="33"/>
      <c r="M63" s="33"/>
      <c r="N63" s="40" t="s">
        <v>133</v>
      </c>
      <c r="O63" s="2">
        <f>R17+R18+R19+R41+R42</f>
        <v>7.8500000000000005</v>
      </c>
      <c r="P63" s="1" t="s">
        <v>8</v>
      </c>
      <c r="Q63" s="33"/>
      <c r="R63" s="33"/>
      <c r="S63" s="33"/>
      <c r="T63" s="33"/>
    </row>
    <row r="64" spans="1:20" ht="12.75">
      <c r="A64" s="33"/>
      <c r="B64" s="33"/>
      <c r="C64" s="79"/>
      <c r="D64" s="79"/>
      <c r="E64" s="79"/>
      <c r="F64" s="79"/>
      <c r="G64" s="79"/>
      <c r="H64" s="79"/>
      <c r="I64" s="79"/>
      <c r="J64" s="79"/>
      <c r="K64" s="33"/>
      <c r="L64" s="33"/>
      <c r="M64" s="33"/>
      <c r="N64" s="34"/>
      <c r="O64" s="33"/>
      <c r="P64" s="33"/>
      <c r="Q64" s="33"/>
      <c r="R64" s="33"/>
      <c r="S64" s="33"/>
      <c r="T64" s="33"/>
    </row>
    <row r="65" spans="1:20" ht="12.75">
      <c r="A65" s="33"/>
      <c r="B65" s="33"/>
      <c r="C65" s="79"/>
      <c r="D65" s="79"/>
      <c r="E65" s="79"/>
      <c r="F65" s="79"/>
      <c r="G65" s="79"/>
      <c r="H65" s="79"/>
      <c r="I65" s="79"/>
      <c r="J65" s="79"/>
      <c r="K65" s="33"/>
      <c r="L65" s="33"/>
      <c r="M65" s="33"/>
      <c r="N65" s="34"/>
      <c r="O65" s="33"/>
      <c r="P65" s="33"/>
      <c r="Q65" s="33"/>
      <c r="R65" s="33"/>
      <c r="S65" s="33"/>
      <c r="T65" s="33"/>
    </row>
    <row r="66" spans="1:20" ht="12.75">
      <c r="A66" s="33"/>
      <c r="B66" s="33"/>
      <c r="C66" s="79"/>
      <c r="D66" s="79"/>
      <c r="E66" s="79"/>
      <c r="F66" s="79"/>
      <c r="G66" s="79"/>
      <c r="H66" s="79"/>
      <c r="I66" s="79"/>
      <c r="J66" s="79"/>
      <c r="K66" s="33"/>
      <c r="L66" s="77" t="s">
        <v>134</v>
      </c>
      <c r="M66" s="77"/>
      <c r="N66" s="77"/>
      <c r="O66" s="77"/>
      <c r="P66" s="77"/>
      <c r="Q66" s="77"/>
      <c r="R66" s="33"/>
      <c r="S66" s="33"/>
      <c r="T66" s="33"/>
    </row>
    <row r="67" spans="1:20" ht="12.75">
      <c r="A67" s="33"/>
      <c r="B67" s="33"/>
      <c r="C67" s="79"/>
      <c r="D67" s="79"/>
      <c r="E67" s="79"/>
      <c r="F67" s="79"/>
      <c r="G67" s="79"/>
      <c r="H67" s="79"/>
      <c r="I67" s="79"/>
      <c r="J67" s="79"/>
      <c r="K67" s="33"/>
      <c r="L67" s="33"/>
      <c r="M67" s="33"/>
      <c r="N67" s="34"/>
      <c r="O67" s="33"/>
      <c r="P67" s="33"/>
      <c r="Q67" s="33"/>
      <c r="R67" s="33"/>
      <c r="S67" s="33"/>
      <c r="T67" s="33"/>
    </row>
    <row r="68" spans="1:20" ht="12.75">
      <c r="A68" s="33"/>
      <c r="B68" s="33"/>
      <c r="C68" s="79"/>
      <c r="D68" s="79"/>
      <c r="E68" s="79"/>
      <c r="F68" s="79"/>
      <c r="G68" s="79"/>
      <c r="H68" s="79"/>
      <c r="I68" s="79"/>
      <c r="J68" s="79"/>
      <c r="K68" s="33"/>
      <c r="L68" s="33"/>
      <c r="M68" s="33"/>
      <c r="N68" s="1" t="s">
        <v>132</v>
      </c>
      <c r="O68" s="5">
        <f>G20+G22</f>
        <v>15</v>
      </c>
      <c r="P68" s="1" t="s">
        <v>8</v>
      </c>
      <c r="Q68" s="33"/>
      <c r="R68" s="33"/>
      <c r="S68" s="33"/>
      <c r="T68" s="33"/>
    </row>
    <row r="69" spans="1:20" ht="12.75">
      <c r="A69" s="33"/>
      <c r="B69" s="33"/>
      <c r="C69" s="79"/>
      <c r="D69" s="79"/>
      <c r="E69" s="79"/>
      <c r="F69" s="79"/>
      <c r="G69" s="79"/>
      <c r="H69" s="79"/>
      <c r="I69" s="79"/>
      <c r="J69" s="79"/>
      <c r="K69" s="33"/>
      <c r="L69" s="33"/>
      <c r="M69" s="33"/>
      <c r="N69" s="34"/>
      <c r="O69" s="33"/>
      <c r="P69" s="33"/>
      <c r="Q69" s="33"/>
      <c r="R69" s="33"/>
      <c r="S69" s="33"/>
      <c r="T69" s="33"/>
    </row>
    <row r="70" spans="1:20" ht="12.75">
      <c r="A70" s="33"/>
      <c r="B70" s="33"/>
      <c r="C70" s="79"/>
      <c r="D70" s="79"/>
      <c r="E70" s="79"/>
      <c r="F70" s="79"/>
      <c r="G70" s="79"/>
      <c r="H70" s="79"/>
      <c r="I70" s="79"/>
      <c r="J70" s="79"/>
      <c r="K70" s="33"/>
      <c r="L70" s="33"/>
      <c r="M70" s="33"/>
      <c r="N70" s="40" t="s">
        <v>133</v>
      </c>
      <c r="O70" s="2">
        <f>R43+R44+R45+R26+R46+R27+R28+2*R57</f>
        <v>27.059999999999995</v>
      </c>
      <c r="P70" s="1" t="s">
        <v>8</v>
      </c>
      <c r="Q70" s="33"/>
      <c r="R70" s="33"/>
      <c r="S70" s="33"/>
      <c r="T70" s="33"/>
    </row>
    <row r="71" spans="1:20" ht="12.75">
      <c r="A71" s="33"/>
      <c r="B71" s="33"/>
      <c r="C71" s="79"/>
      <c r="D71" s="79"/>
      <c r="E71" s="79"/>
      <c r="F71" s="79"/>
      <c r="G71" s="79"/>
      <c r="H71" s="79"/>
      <c r="I71" s="79"/>
      <c r="J71" s="79"/>
      <c r="K71" s="33"/>
      <c r="L71" s="33"/>
      <c r="M71" s="33"/>
      <c r="N71" s="34"/>
      <c r="O71" s="33"/>
      <c r="P71" s="33"/>
      <c r="Q71" s="33"/>
      <c r="R71" s="33"/>
      <c r="S71" s="33"/>
      <c r="T71" s="33"/>
    </row>
    <row r="72" spans="1:20" ht="15">
      <c r="A72" s="33"/>
      <c r="B72" s="33"/>
      <c r="C72" s="79"/>
      <c r="D72" s="79"/>
      <c r="E72" s="79"/>
      <c r="F72" s="79"/>
      <c r="G72" s="79"/>
      <c r="H72" s="79"/>
      <c r="I72" s="79"/>
      <c r="J72" s="79"/>
      <c r="K72" s="33"/>
      <c r="L72" s="42" t="s">
        <v>137</v>
      </c>
      <c r="M72" s="1" t="s">
        <v>135</v>
      </c>
      <c r="N72" s="42" t="s">
        <v>138</v>
      </c>
      <c r="O72" s="41">
        <f>((O61+O63)/((E27/1000)*2*C39*(I27/10000)^2))</f>
        <v>326712.3672570775</v>
      </c>
      <c r="P72" s="20" t="s">
        <v>136</v>
      </c>
      <c r="Q72" s="33"/>
      <c r="R72" s="33"/>
      <c r="S72" s="33"/>
      <c r="T72" s="33"/>
    </row>
    <row r="73" spans="1:20" ht="12.75">
      <c r="A73" s="33"/>
      <c r="B73" s="33"/>
      <c r="C73" s="79"/>
      <c r="D73" s="79"/>
      <c r="E73" s="79"/>
      <c r="F73" s="79"/>
      <c r="G73" s="79"/>
      <c r="H73" s="79"/>
      <c r="I73" s="79"/>
      <c r="J73" s="79"/>
      <c r="K73" s="33"/>
      <c r="L73" s="33"/>
      <c r="M73" s="33"/>
      <c r="N73" s="34"/>
      <c r="O73" s="33"/>
      <c r="P73" s="33"/>
      <c r="Q73" s="33"/>
      <c r="R73" s="33"/>
      <c r="S73" s="33"/>
      <c r="T73" s="33"/>
    </row>
    <row r="74" spans="1:20" ht="15">
      <c r="A74" s="33"/>
      <c r="B74" s="33"/>
      <c r="C74" s="79"/>
      <c r="D74" s="79"/>
      <c r="E74" s="79"/>
      <c r="F74" s="79"/>
      <c r="G74" s="79"/>
      <c r="H74" s="79"/>
      <c r="I74" s="79"/>
      <c r="J74" s="79"/>
      <c r="K74" s="33"/>
      <c r="L74" s="42" t="s">
        <v>139</v>
      </c>
      <c r="M74" s="1" t="s">
        <v>135</v>
      </c>
      <c r="N74" s="42" t="s">
        <v>140</v>
      </c>
      <c r="O74" s="43">
        <f>((O68+O70)/((E29/1000)*2*C39*(I29/10000)^2))</f>
        <v>8680293.819897028</v>
      </c>
      <c r="P74" s="20" t="s">
        <v>136</v>
      </c>
      <c r="Q74" s="33"/>
      <c r="R74" s="33"/>
      <c r="S74" s="33"/>
      <c r="T74" s="33"/>
    </row>
    <row r="75" spans="1:20" ht="12.75">
      <c r="A75" s="33"/>
      <c r="B75" s="33"/>
      <c r="C75" s="79"/>
      <c r="D75" s="79"/>
      <c r="E75" s="79"/>
      <c r="F75" s="79"/>
      <c r="G75" s="79"/>
      <c r="H75" s="79"/>
      <c r="I75" s="79"/>
      <c r="J75" s="79"/>
      <c r="K75" s="33"/>
      <c r="L75" s="33"/>
      <c r="M75" s="33"/>
      <c r="N75" s="34"/>
      <c r="O75" s="33"/>
      <c r="P75" s="33"/>
      <c r="Q75" s="33"/>
      <c r="R75" s="33"/>
      <c r="S75" s="33"/>
      <c r="T75" s="33"/>
    </row>
    <row r="76" spans="1:20" ht="15">
      <c r="A76" s="33"/>
      <c r="B76" s="33"/>
      <c r="C76" s="79"/>
      <c r="D76" s="79"/>
      <c r="E76" s="79"/>
      <c r="F76" s="79"/>
      <c r="G76" s="79"/>
      <c r="H76" s="79"/>
      <c r="I76" s="79"/>
      <c r="J76" s="79"/>
      <c r="K76" s="33"/>
      <c r="L76" s="71"/>
      <c r="M76" s="37"/>
      <c r="N76" s="71"/>
      <c r="O76" s="72"/>
      <c r="P76" s="36"/>
      <c r="Q76" s="33"/>
      <c r="R76" s="33"/>
      <c r="S76" s="33"/>
      <c r="T76" s="33"/>
    </row>
    <row r="77" spans="1:20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4"/>
      <c r="O77" s="33"/>
      <c r="P77" s="33"/>
      <c r="Q77" s="33"/>
      <c r="R77" s="33"/>
      <c r="S77" s="33"/>
      <c r="T77" s="33"/>
    </row>
    <row r="78" spans="1:20" ht="15">
      <c r="A78" s="1" t="s">
        <v>144</v>
      </c>
      <c r="B78" s="33"/>
      <c r="C78" s="42" t="s">
        <v>141</v>
      </c>
      <c r="D78" s="5">
        <f>(C17-C15)+((C42*1000)/(C36*C39))</f>
        <v>21.164350193437457</v>
      </c>
      <c r="E78" s="1" t="s">
        <v>142</v>
      </c>
      <c r="F78" s="5">
        <f>1/(2*C39*(I29/10000)^2)</f>
        <v>10834.888862210983</v>
      </c>
      <c r="G78" s="1" t="s">
        <v>143</v>
      </c>
      <c r="H78" s="42" t="s">
        <v>138</v>
      </c>
      <c r="I78" s="43">
        <f>O72</f>
        <v>326712.3672570775</v>
      </c>
      <c r="J78" s="1" t="s">
        <v>143</v>
      </c>
      <c r="K78" s="42" t="s">
        <v>140</v>
      </c>
      <c r="L78" s="43">
        <f>O74</f>
        <v>8680293.819897028</v>
      </c>
      <c r="M78" s="20" t="s">
        <v>136</v>
      </c>
      <c r="N78" s="34"/>
      <c r="O78" s="33"/>
      <c r="P78" s="33"/>
      <c r="Q78" s="33"/>
      <c r="R78" s="33"/>
      <c r="S78" s="33"/>
      <c r="T78" s="33"/>
    </row>
    <row r="79" spans="1:20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4"/>
      <c r="O79" s="33"/>
      <c r="P79" s="33"/>
      <c r="Q79" s="33"/>
      <c r="R79" s="33"/>
      <c r="S79" s="33"/>
      <c r="T79" s="33"/>
    </row>
    <row r="80" spans="1:20" ht="12.75">
      <c r="A80" s="33"/>
      <c r="B80" s="33"/>
      <c r="C80" s="77" t="s">
        <v>156</v>
      </c>
      <c r="D80" s="77"/>
      <c r="E80" s="77"/>
      <c r="F80" s="77"/>
      <c r="G80" s="77"/>
      <c r="H80" s="77"/>
      <c r="I80" s="77"/>
      <c r="J80" s="77"/>
      <c r="K80" s="77"/>
      <c r="L80" s="77"/>
      <c r="M80" s="33"/>
      <c r="N80" s="34"/>
      <c r="O80" s="33"/>
      <c r="P80" s="33"/>
      <c r="Q80" s="33"/>
      <c r="R80" s="33"/>
      <c r="S80" s="33"/>
      <c r="T80" s="33"/>
    </row>
    <row r="81" spans="1:20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4"/>
      <c r="O81" s="33"/>
      <c r="P81" s="33"/>
      <c r="Q81" s="33"/>
      <c r="R81" s="33"/>
      <c r="S81" s="33"/>
      <c r="T81" s="33"/>
    </row>
    <row r="82" spans="1:20" ht="12.75">
      <c r="A82" s="33"/>
      <c r="B82" s="33"/>
      <c r="C82" s="2" t="s">
        <v>1</v>
      </c>
      <c r="D82" s="2" t="s">
        <v>49</v>
      </c>
      <c r="E82" s="2" t="s">
        <v>50</v>
      </c>
      <c r="F82" s="2" t="s">
        <v>51</v>
      </c>
      <c r="G82" s="34"/>
      <c r="H82" s="33"/>
      <c r="I82" s="33"/>
      <c r="J82" s="33"/>
      <c r="K82" s="33"/>
      <c r="L82" s="33"/>
      <c r="M82" s="33"/>
      <c r="N82" s="34"/>
      <c r="O82" s="33"/>
      <c r="P82" s="33"/>
      <c r="Q82" s="33"/>
      <c r="R82" s="33"/>
      <c r="S82" s="33"/>
      <c r="T82" s="33"/>
    </row>
    <row r="83" spans="1:20" ht="12.75">
      <c r="A83" s="33"/>
      <c r="B83" s="66"/>
      <c r="C83" s="2">
        <v>0</v>
      </c>
      <c r="F83" s="5">
        <f>$D$78+$F$78*(C83/3600)^2+D83*$I$78*(C83/3600)^2+E83*$L$78*(C83/3600)^2</f>
        <v>21.164350193437457</v>
      </c>
      <c r="G83" s="69"/>
      <c r="H83" s="78"/>
      <c r="I83" s="78"/>
      <c r="J83" s="78"/>
      <c r="K83" s="78"/>
      <c r="L83" s="78"/>
      <c r="M83" s="78"/>
      <c r="N83" s="78"/>
      <c r="O83" s="78"/>
      <c r="P83" s="78"/>
      <c r="Q83" s="33"/>
      <c r="R83" s="33"/>
      <c r="S83" s="33"/>
      <c r="T83" s="33"/>
    </row>
    <row r="84" spans="1:20" ht="12.75">
      <c r="A84" s="33"/>
      <c r="B84" s="66"/>
      <c r="C84" s="2">
        <v>6</v>
      </c>
      <c r="D84" s="4">
        <v>0.02491992506023805</v>
      </c>
      <c r="E84" s="4">
        <v>0.02401962197592115</v>
      </c>
      <c r="F84" s="5">
        <f aca="true" t="shared" si="0" ref="F84:F93">$D$78+$F$78*(C84/3600)^2+D84*$I$78*(C84/3600)^2+E84*$L$78*(C84/3600)^2</f>
        <v>21.79622217333846</v>
      </c>
      <c r="G84" s="65"/>
      <c r="H84" s="78"/>
      <c r="I84" s="78"/>
      <c r="J84" s="78"/>
      <c r="K84" s="78"/>
      <c r="L84" s="78"/>
      <c r="M84" s="78"/>
      <c r="N84" s="78"/>
      <c r="O84" s="78"/>
      <c r="P84" s="78"/>
      <c r="Q84" s="33"/>
      <c r="R84" s="33"/>
      <c r="S84" s="33"/>
      <c r="T84" s="33"/>
    </row>
    <row r="85" spans="1:20" ht="12.75">
      <c r="A85" s="33"/>
      <c r="B85" s="66"/>
      <c r="C85" s="2">
        <v>8</v>
      </c>
      <c r="D85" s="4">
        <v>0.023646740236917548</v>
      </c>
      <c r="E85" s="4">
        <v>0.023064724155488152</v>
      </c>
      <c r="F85" s="5">
        <f t="shared" si="0"/>
        <v>22.244691694116177</v>
      </c>
      <c r="G85" s="65"/>
      <c r="H85" s="78"/>
      <c r="I85" s="78"/>
      <c r="J85" s="78"/>
      <c r="K85" s="78"/>
      <c r="L85" s="78"/>
      <c r="M85" s="78"/>
      <c r="N85" s="78"/>
      <c r="O85" s="78"/>
      <c r="P85" s="78"/>
      <c r="Q85" s="33"/>
      <c r="R85" s="33"/>
      <c r="S85" s="33"/>
      <c r="T85" s="33"/>
    </row>
    <row r="86" spans="1:20" ht="12.75">
      <c r="A86" s="33"/>
      <c r="B86" s="66"/>
      <c r="C86" s="2">
        <v>10</v>
      </c>
      <c r="D86" s="4">
        <v>0.02277549499664984</v>
      </c>
      <c r="E86" s="4">
        <v>0.02242879821306807</v>
      </c>
      <c r="F86" s="5">
        <f t="shared" si="0"/>
        <v>22.80759466307195</v>
      </c>
      <c r="G86" s="65"/>
      <c r="H86" s="78"/>
      <c r="I86" s="78"/>
      <c r="J86" s="78"/>
      <c r="K86" s="78"/>
      <c r="L86" s="78"/>
      <c r="M86" s="78"/>
      <c r="N86" s="78"/>
      <c r="O86" s="78"/>
      <c r="P86" s="78"/>
      <c r="Q86" s="33"/>
      <c r="R86" s="33"/>
      <c r="S86" s="33"/>
      <c r="T86" s="33"/>
    </row>
    <row r="87" spans="1:20" ht="12.75">
      <c r="A87" s="33"/>
      <c r="B87" s="66"/>
      <c r="C87" s="2">
        <v>15</v>
      </c>
      <c r="D87" s="4">
        <v>0.021429370013467643</v>
      </c>
      <c r="E87" s="4">
        <v>0.0214818018256633</v>
      </c>
      <c r="F87" s="5">
        <f t="shared" si="0"/>
        <v>24.7113029832933</v>
      </c>
      <c r="G87" s="65"/>
      <c r="H87" s="78"/>
      <c r="I87" s="78"/>
      <c r="J87" s="78"/>
      <c r="K87" s="78"/>
      <c r="L87" s="78"/>
      <c r="M87" s="78"/>
      <c r="N87" s="78"/>
      <c r="O87" s="78"/>
      <c r="P87" s="78"/>
      <c r="Q87" s="33"/>
      <c r="R87" s="33"/>
      <c r="S87" s="33"/>
      <c r="T87" s="33"/>
    </row>
    <row r="88" spans="1:20" ht="12.75">
      <c r="A88" s="33"/>
      <c r="B88" s="66"/>
      <c r="C88" s="2">
        <v>20</v>
      </c>
      <c r="D88" s="4">
        <v>0.02064282106790929</v>
      </c>
      <c r="E88" s="4">
        <v>0.020952954985307724</v>
      </c>
      <c r="F88" s="5">
        <f t="shared" si="0"/>
        <v>27.320429189354712</v>
      </c>
      <c r="G88" s="65"/>
      <c r="H88" s="78"/>
      <c r="I88" s="78"/>
      <c r="J88" s="78"/>
      <c r="K88" s="78"/>
      <c r="L88" s="78"/>
      <c r="M88" s="78"/>
      <c r="N88" s="78"/>
      <c r="O88" s="78"/>
      <c r="P88" s="78"/>
      <c r="Q88" s="33"/>
      <c r="R88" s="33"/>
      <c r="S88" s="33"/>
      <c r="T88" s="33"/>
    </row>
    <row r="89" spans="1:20" ht="12.75">
      <c r="A89" s="33"/>
      <c r="B89" s="66"/>
      <c r="C89" s="2">
        <v>22</v>
      </c>
      <c r="D89" s="4">
        <v>0.020410495329398228</v>
      </c>
      <c r="E89" s="4">
        <v>0.020800784725694316</v>
      </c>
      <c r="F89" s="5">
        <f t="shared" si="0"/>
        <v>28.561041847328248</v>
      </c>
      <c r="G89" s="65"/>
      <c r="H89" s="78"/>
      <c r="I89" s="78"/>
      <c r="J89" s="78"/>
      <c r="K89" s="78"/>
      <c r="L89" s="78"/>
      <c r="M89" s="78"/>
      <c r="N89" s="78"/>
      <c r="O89" s="78"/>
      <c r="P89" s="78"/>
      <c r="Q89" s="33"/>
      <c r="R89" s="33"/>
      <c r="S89" s="33"/>
      <c r="T89" s="33"/>
    </row>
    <row r="90" spans="1:20" ht="12.75">
      <c r="A90" s="33"/>
      <c r="B90" s="66"/>
      <c r="C90" s="2">
        <v>24</v>
      </c>
      <c r="D90" s="4">
        <v>0.020210009743860453</v>
      </c>
      <c r="E90" s="4">
        <v>0.020671071738786347</v>
      </c>
      <c r="F90" s="5">
        <f t="shared" si="0"/>
        <v>29.914071315781968</v>
      </c>
      <c r="G90" s="65"/>
      <c r="H90" s="78"/>
      <c r="I90" s="78"/>
      <c r="J90" s="78"/>
      <c r="K90" s="78"/>
      <c r="L90" s="78"/>
      <c r="M90" s="78"/>
      <c r="N90" s="78"/>
      <c r="O90" s="78"/>
      <c r="P90" s="78"/>
      <c r="Q90" s="33"/>
      <c r="R90" s="33"/>
      <c r="S90" s="33"/>
      <c r="T90" s="33"/>
    </row>
    <row r="91" spans="1:20" ht="12.75">
      <c r="A91" s="33"/>
      <c r="B91" s="66"/>
      <c r="C91" s="2">
        <v>26</v>
      </c>
      <c r="D91" s="4">
        <v>0.0201</v>
      </c>
      <c r="E91" s="4">
        <v>0.020559135700927433</v>
      </c>
      <c r="F91" s="5">
        <f t="shared" si="0"/>
        <v>31.380564290938523</v>
      </c>
      <c r="G91" s="65"/>
      <c r="H91" s="78"/>
      <c r="I91" s="78"/>
      <c r="J91" s="78"/>
      <c r="K91" s="78"/>
      <c r="L91" s="78"/>
      <c r="M91" s="78"/>
      <c r="N91" s="78"/>
      <c r="O91" s="78"/>
      <c r="P91" s="78"/>
      <c r="Q91" s="33"/>
      <c r="R91" s="33"/>
      <c r="S91" s="33"/>
      <c r="T91" s="33"/>
    </row>
    <row r="92" spans="1:20" ht="12.75">
      <c r="A92" s="33"/>
      <c r="B92" s="66"/>
      <c r="C92" s="2">
        <v>28</v>
      </c>
      <c r="D92" s="4">
        <v>0.019880901758847786</v>
      </c>
      <c r="E92" s="4">
        <v>0.02046152280588002</v>
      </c>
      <c r="F92" s="5">
        <f t="shared" si="0"/>
        <v>32.95715329162756</v>
      </c>
      <c r="G92" s="65"/>
      <c r="H92" s="78"/>
      <c r="I92" s="78"/>
      <c r="J92" s="78"/>
      <c r="K92" s="78"/>
      <c r="L92" s="78"/>
      <c r="M92" s="78"/>
      <c r="N92" s="78"/>
      <c r="O92" s="78"/>
      <c r="P92" s="78"/>
      <c r="Q92" s="33"/>
      <c r="R92" s="33"/>
      <c r="S92" s="33"/>
      <c r="T92" s="33"/>
    </row>
    <row r="93" spans="1:20" ht="12.75">
      <c r="A93" s="33"/>
      <c r="B93" s="66"/>
      <c r="C93" s="2">
        <v>30</v>
      </c>
      <c r="D93" s="4">
        <v>0.019743966593776214</v>
      </c>
      <c r="E93" s="4">
        <v>0.020375626138870166</v>
      </c>
      <c r="F93" s="5">
        <f t="shared" si="0"/>
        <v>34.64712162238713</v>
      </c>
      <c r="G93" s="65"/>
      <c r="H93" s="78"/>
      <c r="I93" s="78"/>
      <c r="J93" s="78"/>
      <c r="K93" s="78"/>
      <c r="L93" s="78"/>
      <c r="M93" s="78"/>
      <c r="N93" s="78"/>
      <c r="O93" s="78"/>
      <c r="P93" s="78"/>
      <c r="Q93" s="33"/>
      <c r="R93" s="33"/>
      <c r="S93" s="33"/>
      <c r="T93" s="33"/>
    </row>
    <row r="94" spans="1:20" ht="12.75">
      <c r="A94" s="33"/>
      <c r="B94" s="33"/>
      <c r="C94" s="40" t="s">
        <v>167</v>
      </c>
      <c r="D94" s="67">
        <f>SUM(D84:D93)</f>
        <v>0.2137597248010651</v>
      </c>
      <c r="E94" s="67">
        <f>SUM(E84:E93)</f>
        <v>0.21481604226560666</v>
      </c>
      <c r="F94" s="65"/>
      <c r="G94" s="73"/>
      <c r="H94" s="78"/>
      <c r="I94" s="78"/>
      <c r="J94" s="78"/>
      <c r="K94" s="78"/>
      <c r="L94" s="78"/>
      <c r="M94" s="78"/>
      <c r="N94" s="78"/>
      <c r="O94" s="78"/>
      <c r="P94" s="78"/>
      <c r="Q94" s="33"/>
      <c r="R94" s="33"/>
      <c r="S94" s="33"/>
      <c r="T94" s="33"/>
    </row>
    <row r="95" spans="1:20" ht="12.75">
      <c r="A95" s="33"/>
      <c r="B95" s="33"/>
      <c r="C95" s="33"/>
      <c r="D95" s="33"/>
      <c r="E95" s="33"/>
      <c r="F95" s="33"/>
      <c r="G95" s="49"/>
      <c r="H95" s="78"/>
      <c r="I95" s="78"/>
      <c r="J95" s="78"/>
      <c r="K95" s="78"/>
      <c r="L95" s="78"/>
      <c r="M95" s="78"/>
      <c r="N95" s="78"/>
      <c r="O95" s="78"/>
      <c r="P95" s="78"/>
      <c r="Q95" s="33"/>
      <c r="R95" s="33"/>
      <c r="S95" s="33"/>
      <c r="T95" s="33"/>
    </row>
    <row r="96" spans="1:20" ht="12.75">
      <c r="A96" s="33"/>
      <c r="B96" s="33"/>
      <c r="C96" s="1" t="s">
        <v>129</v>
      </c>
      <c r="D96" s="5">
        <v>25.5</v>
      </c>
      <c r="E96" s="1" t="s">
        <v>60</v>
      </c>
      <c r="F96" s="33"/>
      <c r="G96" s="49"/>
      <c r="H96" s="78"/>
      <c r="I96" s="78"/>
      <c r="J96" s="78"/>
      <c r="K96" s="78"/>
      <c r="L96" s="78"/>
      <c r="M96" s="78"/>
      <c r="N96" s="78"/>
      <c r="O96" s="78"/>
      <c r="P96" s="78"/>
      <c r="Q96" s="33"/>
      <c r="R96" s="33"/>
      <c r="S96" s="33"/>
      <c r="T96" s="33"/>
    </row>
    <row r="97" spans="1:20" ht="12.75">
      <c r="A97" s="33"/>
      <c r="B97" s="33"/>
      <c r="C97" s="33"/>
      <c r="D97" s="33"/>
      <c r="E97" s="33"/>
      <c r="F97" s="33"/>
      <c r="G97" s="49"/>
      <c r="H97" s="78"/>
      <c r="I97" s="78"/>
      <c r="J97" s="78"/>
      <c r="K97" s="78"/>
      <c r="L97" s="78"/>
      <c r="M97" s="78"/>
      <c r="N97" s="78"/>
      <c r="O97" s="78"/>
      <c r="P97" s="78"/>
      <c r="Q97" s="33"/>
      <c r="R97" s="33"/>
      <c r="S97" s="33"/>
      <c r="T97" s="33"/>
    </row>
    <row r="98" spans="1:20" ht="12.75">
      <c r="A98" s="33"/>
      <c r="B98" s="33"/>
      <c r="C98" s="33"/>
      <c r="D98" s="1" t="s">
        <v>61</v>
      </c>
      <c r="E98" s="33"/>
      <c r="F98" s="33"/>
      <c r="G98" s="49"/>
      <c r="H98" s="78"/>
      <c r="I98" s="78"/>
      <c r="J98" s="78"/>
      <c r="K98" s="78"/>
      <c r="L98" s="78"/>
      <c r="M98" s="78"/>
      <c r="N98" s="78"/>
      <c r="O98" s="78"/>
      <c r="P98" s="78"/>
      <c r="Q98" s="33"/>
      <c r="R98" s="33"/>
      <c r="S98" s="33"/>
      <c r="T98" s="33"/>
    </row>
    <row r="99" spans="1:20" ht="12.75">
      <c r="A99" s="33"/>
      <c r="B99" s="33"/>
      <c r="C99" s="33"/>
      <c r="D99" s="33"/>
      <c r="E99" s="33"/>
      <c r="F99" s="33"/>
      <c r="G99" s="49"/>
      <c r="H99" s="78"/>
      <c r="I99" s="78"/>
      <c r="J99" s="78"/>
      <c r="K99" s="78"/>
      <c r="L99" s="78"/>
      <c r="M99" s="78"/>
      <c r="N99" s="78"/>
      <c r="O99" s="78"/>
      <c r="P99" s="78"/>
      <c r="Q99" s="33"/>
      <c r="R99" s="33"/>
      <c r="S99" s="33"/>
      <c r="T99" s="33"/>
    </row>
    <row r="100" spans="1:20" ht="12.75">
      <c r="A100" s="33"/>
      <c r="B100" s="33"/>
      <c r="C100" s="1" t="s">
        <v>129</v>
      </c>
      <c r="D100" s="5">
        <f>D96/3.6</f>
        <v>7.083333333333333</v>
      </c>
      <c r="E100" s="1" t="s">
        <v>62</v>
      </c>
      <c r="F100" s="33"/>
      <c r="G100" s="49"/>
      <c r="H100" s="78"/>
      <c r="I100" s="78"/>
      <c r="J100" s="78"/>
      <c r="K100" s="78"/>
      <c r="L100" s="78"/>
      <c r="M100" s="78"/>
      <c r="N100" s="78"/>
      <c r="O100" s="78"/>
      <c r="P100" s="78"/>
      <c r="Q100" s="33"/>
      <c r="R100" s="33"/>
      <c r="S100" s="33"/>
      <c r="T100" s="33"/>
    </row>
    <row r="101" spans="1:20" ht="12.75">
      <c r="A101" s="33"/>
      <c r="B101" s="33"/>
      <c r="C101" s="33"/>
      <c r="D101" s="33"/>
      <c r="E101" s="33"/>
      <c r="F101" s="33"/>
      <c r="G101" s="49"/>
      <c r="H101" s="78"/>
      <c r="I101" s="78"/>
      <c r="J101" s="78"/>
      <c r="K101" s="78"/>
      <c r="L101" s="78"/>
      <c r="M101" s="78"/>
      <c r="N101" s="78"/>
      <c r="O101" s="78"/>
      <c r="P101" s="78"/>
      <c r="Q101" s="33"/>
      <c r="R101" s="33"/>
      <c r="S101" s="33"/>
      <c r="T101" s="33"/>
    </row>
    <row r="102" spans="1:20" ht="12.75">
      <c r="A102" s="47" t="s">
        <v>177</v>
      </c>
      <c r="B102" s="47"/>
      <c r="C102" s="47"/>
      <c r="D102" s="47"/>
      <c r="E102" s="47"/>
      <c r="F102" s="47"/>
      <c r="G102" s="48"/>
      <c r="H102" s="78"/>
      <c r="I102" s="78"/>
      <c r="J102" s="78"/>
      <c r="K102" s="78"/>
      <c r="L102" s="78"/>
      <c r="M102" s="78"/>
      <c r="N102" s="78"/>
      <c r="O102" s="78"/>
      <c r="P102" s="78"/>
      <c r="Q102" s="33"/>
      <c r="R102" s="33"/>
      <c r="S102" s="33"/>
      <c r="T102" s="33"/>
    </row>
    <row r="103" spans="1:20" ht="12.75">
      <c r="A103" s="33"/>
      <c r="B103" s="33"/>
      <c r="C103" s="33"/>
      <c r="D103" s="33"/>
      <c r="E103" s="33"/>
      <c r="F103" s="33"/>
      <c r="G103" s="49"/>
      <c r="H103" s="78"/>
      <c r="I103" s="78"/>
      <c r="J103" s="78"/>
      <c r="K103" s="78"/>
      <c r="L103" s="78"/>
      <c r="M103" s="78"/>
      <c r="N103" s="78"/>
      <c r="O103" s="78"/>
      <c r="P103" s="78"/>
      <c r="Q103" s="33"/>
      <c r="R103" s="33"/>
      <c r="S103" s="33"/>
      <c r="T103" s="33"/>
    </row>
    <row r="104" spans="1:20" ht="15.75">
      <c r="A104" s="33"/>
      <c r="B104" s="33"/>
      <c r="C104" s="42" t="s">
        <v>147</v>
      </c>
      <c r="D104" s="44">
        <f>-0.0137*D96^2+0.1357*D96+36.5</f>
        <v>31.051925</v>
      </c>
      <c r="E104" s="1" t="s">
        <v>8</v>
      </c>
      <c r="F104" s="33"/>
      <c r="G104" s="45" t="s">
        <v>151</v>
      </c>
      <c r="H104" s="5">
        <f>-0.0811*D96^2+3.9072*D96+15.736</f>
        <v>62.634325000000004</v>
      </c>
      <c r="I104" s="1" t="s">
        <v>152</v>
      </c>
      <c r="J104" s="33"/>
      <c r="K104" s="33"/>
      <c r="L104" s="33"/>
      <c r="M104" s="33"/>
      <c r="N104" s="34"/>
      <c r="O104" s="33"/>
      <c r="P104" s="33"/>
      <c r="Q104" s="33"/>
      <c r="R104" s="33"/>
      <c r="S104" s="33"/>
      <c r="T104" s="33"/>
    </row>
    <row r="105" spans="1:20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4"/>
      <c r="O105" s="33"/>
      <c r="P105" s="33"/>
      <c r="Q105" s="33"/>
      <c r="R105" s="33"/>
      <c r="S105" s="33"/>
      <c r="T105" s="33"/>
    </row>
    <row r="106" spans="1:20" ht="12.75">
      <c r="A106" s="33"/>
      <c r="B106" s="77" t="s">
        <v>150</v>
      </c>
      <c r="C106" s="77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4"/>
      <c r="O106" s="33"/>
      <c r="P106" s="33"/>
      <c r="Q106" s="33"/>
      <c r="R106" s="33"/>
      <c r="S106" s="33"/>
      <c r="T106" s="33"/>
    </row>
    <row r="107" spans="1:20" ht="15">
      <c r="A107" s="33"/>
      <c r="B107" s="33"/>
      <c r="C107" s="33"/>
      <c r="D107" s="42" t="s">
        <v>153</v>
      </c>
      <c r="E107" s="5">
        <f>(C36*C39*(D96/3600)*D104)/(H104/100)</f>
        <v>3431.113153533758</v>
      </c>
      <c r="F107" s="1" t="s">
        <v>154</v>
      </c>
      <c r="G107" s="1" t="s">
        <v>61</v>
      </c>
      <c r="H107" s="5">
        <f>E107/(9.8*75)</f>
        <v>4.668181161270419</v>
      </c>
      <c r="I107" s="1" t="s">
        <v>155</v>
      </c>
      <c r="J107" s="33"/>
      <c r="K107" s="33"/>
      <c r="L107" s="77" t="s">
        <v>159</v>
      </c>
      <c r="M107" s="77"/>
      <c r="N107" s="77"/>
      <c r="O107" s="77"/>
      <c r="P107" s="33"/>
      <c r="Q107" s="33"/>
      <c r="R107" s="33"/>
      <c r="S107" s="33"/>
      <c r="T107" s="33"/>
    </row>
    <row r="108" spans="1:20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4"/>
      <c r="O108" s="33"/>
      <c r="P108" s="33"/>
      <c r="Q108" s="33"/>
      <c r="R108" s="33"/>
      <c r="S108" s="33"/>
      <c r="T108" s="33"/>
    </row>
    <row r="109" spans="1:20" ht="12.75">
      <c r="A109" s="33"/>
      <c r="B109" s="77" t="s">
        <v>157</v>
      </c>
      <c r="C109" s="77"/>
      <c r="D109" s="77"/>
      <c r="E109" s="77"/>
      <c r="F109" s="77"/>
      <c r="G109" s="77"/>
      <c r="H109" s="77"/>
      <c r="I109" s="77"/>
      <c r="J109" s="33"/>
      <c r="K109" s="33"/>
      <c r="L109" s="33"/>
      <c r="M109" s="33"/>
      <c r="N109" s="34"/>
      <c r="O109" s="33"/>
      <c r="P109" s="33"/>
      <c r="Q109" s="33"/>
      <c r="R109" s="33"/>
      <c r="S109" s="33"/>
      <c r="T109" s="33"/>
    </row>
    <row r="110" spans="1:20" ht="12.75">
      <c r="A110" s="33"/>
      <c r="B110" s="33"/>
      <c r="C110" s="33"/>
      <c r="D110" s="33"/>
      <c r="E110" s="33"/>
      <c r="F110" s="33"/>
      <c r="G110" s="33"/>
      <c r="H110" s="33"/>
      <c r="I110" s="78"/>
      <c r="J110" s="78"/>
      <c r="K110" s="78"/>
      <c r="L110" s="78"/>
      <c r="M110" s="78"/>
      <c r="N110" s="78"/>
      <c r="O110" s="78"/>
      <c r="P110" s="78"/>
      <c r="Q110" s="78"/>
      <c r="R110" s="33"/>
      <c r="S110" s="33"/>
      <c r="T110" s="33"/>
    </row>
    <row r="111" spans="1:20" ht="15">
      <c r="A111" s="33"/>
      <c r="B111" s="33"/>
      <c r="C111" s="33"/>
      <c r="D111" s="42" t="s">
        <v>158</v>
      </c>
      <c r="E111" s="5">
        <f>H107/0.9</f>
        <v>5.186867956967132</v>
      </c>
      <c r="F111" s="1" t="s">
        <v>155</v>
      </c>
      <c r="G111" s="33"/>
      <c r="H111" s="33"/>
      <c r="I111" s="78"/>
      <c r="J111" s="78"/>
      <c r="K111" s="78"/>
      <c r="L111" s="78"/>
      <c r="M111" s="78"/>
      <c r="N111" s="78"/>
      <c r="O111" s="78"/>
      <c r="P111" s="78"/>
      <c r="Q111" s="78"/>
      <c r="R111" s="33"/>
      <c r="S111" s="33"/>
      <c r="T111" s="33"/>
    </row>
    <row r="112" spans="1:20" ht="12.75">
      <c r="A112" s="33"/>
      <c r="B112" s="33"/>
      <c r="C112" s="33"/>
      <c r="D112" s="33"/>
      <c r="E112" s="33"/>
      <c r="F112" s="33"/>
      <c r="G112" s="33"/>
      <c r="H112" s="33"/>
      <c r="I112" s="78"/>
      <c r="J112" s="78"/>
      <c r="K112" s="78"/>
      <c r="L112" s="78"/>
      <c r="M112" s="78"/>
      <c r="N112" s="78"/>
      <c r="O112" s="78"/>
      <c r="P112" s="78"/>
      <c r="Q112" s="78"/>
      <c r="R112" s="33"/>
      <c r="S112" s="33"/>
      <c r="T112" s="33"/>
    </row>
    <row r="113" spans="1:20" ht="12.75">
      <c r="A113" s="33"/>
      <c r="B113" s="33"/>
      <c r="C113" s="33"/>
      <c r="D113" s="33"/>
      <c r="E113" s="33"/>
      <c r="F113" s="33"/>
      <c r="G113" s="33"/>
      <c r="H113" s="33"/>
      <c r="I113" s="78"/>
      <c r="J113" s="78"/>
      <c r="K113" s="78"/>
      <c r="L113" s="78"/>
      <c r="M113" s="78"/>
      <c r="N113" s="78"/>
      <c r="O113" s="78"/>
      <c r="P113" s="78"/>
      <c r="Q113" s="78"/>
      <c r="R113" s="33"/>
      <c r="S113" s="33"/>
      <c r="T113" s="33"/>
    </row>
    <row r="114" spans="1:20" ht="12.75">
      <c r="A114" s="33"/>
      <c r="B114" s="77" t="s">
        <v>160</v>
      </c>
      <c r="C114" s="77"/>
      <c r="D114" s="77"/>
      <c r="E114" s="77"/>
      <c r="F114" s="77"/>
      <c r="G114" s="77"/>
      <c r="H114" s="77"/>
      <c r="I114" s="33"/>
      <c r="J114" s="33"/>
      <c r="K114" s="33"/>
      <c r="L114" s="33"/>
      <c r="M114" s="33"/>
      <c r="N114" s="34"/>
      <c r="O114" s="33"/>
      <c r="P114" s="33"/>
      <c r="Q114" s="33"/>
      <c r="R114" s="33"/>
      <c r="S114" s="33"/>
      <c r="T114" s="33"/>
    </row>
    <row r="115" spans="1:20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4"/>
      <c r="O115" s="33"/>
      <c r="P115" s="33"/>
      <c r="Q115" s="33"/>
      <c r="R115" s="33"/>
      <c r="S115" s="33"/>
      <c r="T115" s="33"/>
    </row>
    <row r="116" spans="1:20" ht="15.75">
      <c r="A116" s="33"/>
      <c r="B116" s="33"/>
      <c r="C116" s="33"/>
      <c r="D116" s="45" t="s">
        <v>161</v>
      </c>
      <c r="E116" s="5">
        <f>(H107/5)*100</f>
        <v>93.36362322540838</v>
      </c>
      <c r="F116" s="1" t="s">
        <v>152</v>
      </c>
      <c r="G116" s="33"/>
      <c r="H116" s="33"/>
      <c r="I116" s="33"/>
      <c r="J116" s="33"/>
      <c r="K116" s="33"/>
      <c r="L116" s="33"/>
      <c r="M116" s="33"/>
      <c r="N116" s="34"/>
      <c r="O116" s="33"/>
      <c r="P116" s="33"/>
      <c r="Q116" s="33"/>
      <c r="R116" s="33"/>
      <c r="S116" s="33"/>
      <c r="T116" s="33"/>
    </row>
    <row r="117" spans="1:20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4"/>
      <c r="O117" s="33"/>
      <c r="P117" s="33"/>
      <c r="Q117" s="33"/>
      <c r="R117" s="33"/>
      <c r="S117" s="33"/>
      <c r="T117" s="33"/>
    </row>
    <row r="118" spans="1:20" ht="12.75">
      <c r="A118" s="77" t="s">
        <v>173</v>
      </c>
      <c r="B118" s="77"/>
      <c r="C118" s="77"/>
      <c r="D118" s="77"/>
      <c r="E118" s="77"/>
      <c r="F118" s="77"/>
      <c r="G118" s="33"/>
      <c r="H118" s="33"/>
      <c r="I118" s="33"/>
      <c r="J118" s="33"/>
      <c r="K118" s="33"/>
      <c r="L118" s="33"/>
      <c r="M118" s="33"/>
      <c r="N118" s="34"/>
      <c r="O118" s="33"/>
      <c r="P118" s="33"/>
      <c r="Q118" s="33"/>
      <c r="R118" s="33"/>
      <c r="S118" s="33"/>
      <c r="T118" s="33"/>
    </row>
    <row r="119" spans="1:20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4"/>
      <c r="O119" s="33"/>
      <c r="P119" s="33"/>
      <c r="Q119" s="33"/>
      <c r="R119" s="33"/>
      <c r="S119" s="33"/>
      <c r="T119" s="33"/>
    </row>
    <row r="120" spans="1:20" ht="12.75">
      <c r="A120" s="33"/>
      <c r="B120" s="1" t="s">
        <v>162</v>
      </c>
      <c r="C120" s="2">
        <v>30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4"/>
      <c r="O120" s="33"/>
      <c r="P120" s="33"/>
      <c r="Q120" s="33"/>
      <c r="R120" s="33"/>
      <c r="S120" s="33"/>
      <c r="T120" s="33"/>
    </row>
    <row r="121" spans="1:20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4"/>
      <c r="O121" s="33"/>
      <c r="P121" s="33"/>
      <c r="Q121" s="33"/>
      <c r="R121" s="33"/>
      <c r="S121" s="33"/>
      <c r="T121" s="33"/>
    </row>
    <row r="122" spans="1:20" ht="12.75">
      <c r="A122" s="33"/>
      <c r="B122" s="1" t="s">
        <v>163</v>
      </c>
      <c r="C122" s="2">
        <v>16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4"/>
      <c r="O122" s="33"/>
      <c r="P122" s="33"/>
      <c r="Q122" s="33"/>
      <c r="R122" s="33"/>
      <c r="S122" s="33"/>
      <c r="T122" s="33"/>
    </row>
    <row r="123" spans="1:20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4"/>
      <c r="O123" s="33"/>
      <c r="P123" s="33"/>
      <c r="Q123" s="33"/>
      <c r="R123" s="33"/>
      <c r="S123" s="33"/>
      <c r="T123" s="33"/>
    </row>
    <row r="124" spans="1:20" ht="12.75">
      <c r="A124" s="33"/>
      <c r="B124" s="77" t="s">
        <v>172</v>
      </c>
      <c r="C124" s="77"/>
      <c r="D124" s="2">
        <f>(5*75*9.8*C120*C122)/1000</f>
        <v>1764.0000000000002</v>
      </c>
      <c r="E124" s="1" t="s">
        <v>164</v>
      </c>
      <c r="F124" s="33"/>
      <c r="G124" s="33"/>
      <c r="H124" s="33"/>
      <c r="I124" s="33"/>
      <c r="J124" s="33"/>
      <c r="K124" s="33"/>
      <c r="L124" s="33"/>
      <c r="M124" s="33"/>
      <c r="N124" s="34"/>
      <c r="O124" s="33"/>
      <c r="P124" s="33"/>
      <c r="Q124" s="33"/>
      <c r="R124" s="33"/>
      <c r="S124" s="33"/>
      <c r="T124" s="33"/>
    </row>
    <row r="125" spans="1:20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4"/>
      <c r="O125" s="33"/>
      <c r="P125" s="33"/>
      <c r="Q125" s="33"/>
      <c r="R125" s="33"/>
      <c r="S125" s="33"/>
      <c r="T125" s="33"/>
    </row>
    <row r="126" spans="1:20" ht="12.75">
      <c r="A126" s="33"/>
      <c r="B126" s="33"/>
      <c r="C126" s="77" t="s">
        <v>165</v>
      </c>
      <c r="D126" s="77"/>
      <c r="E126" s="77"/>
      <c r="F126" s="77"/>
      <c r="G126" s="77"/>
      <c r="H126" s="77"/>
      <c r="I126" s="77"/>
      <c r="J126" s="77"/>
      <c r="K126" s="77"/>
      <c r="L126" s="77"/>
      <c r="M126" s="33"/>
      <c r="N126" s="34"/>
      <c r="O126" s="33"/>
      <c r="P126" s="33"/>
      <c r="Q126" s="33"/>
      <c r="R126" s="33"/>
      <c r="S126" s="33"/>
      <c r="T126" s="33"/>
    </row>
    <row r="127" spans="1:20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4"/>
      <c r="O127" s="33"/>
      <c r="P127" s="33"/>
      <c r="Q127" s="33"/>
      <c r="R127" s="33"/>
      <c r="S127" s="33"/>
      <c r="T127" s="33"/>
    </row>
    <row r="128" spans="1:20" ht="12.75">
      <c r="A128" s="33"/>
      <c r="B128" s="1" t="s">
        <v>166</v>
      </c>
      <c r="C128" s="4">
        <f>D94/10</f>
        <v>0.02137597248010651</v>
      </c>
      <c r="D128" s="33"/>
      <c r="E128" s="1" t="s">
        <v>168</v>
      </c>
      <c r="F128" s="4">
        <f>E94/10</f>
        <v>0.021481604226560667</v>
      </c>
      <c r="G128" s="33"/>
      <c r="H128" s="33"/>
      <c r="I128" s="33"/>
      <c r="J128" s="33"/>
      <c r="K128" s="33"/>
      <c r="L128" s="33"/>
      <c r="M128" s="33"/>
      <c r="N128" s="34"/>
      <c r="O128" s="33"/>
      <c r="P128" s="33"/>
      <c r="Q128" s="33"/>
      <c r="R128" s="33"/>
      <c r="S128" s="33"/>
      <c r="T128" s="33"/>
    </row>
    <row r="129" spans="1:20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4"/>
      <c r="O129" s="33"/>
      <c r="P129" s="33"/>
      <c r="Q129" s="33"/>
      <c r="R129" s="33"/>
      <c r="S129" s="33"/>
      <c r="T129" s="33"/>
    </row>
    <row r="130" spans="1:20" ht="15">
      <c r="A130" s="33"/>
      <c r="B130" s="1" t="s">
        <v>144</v>
      </c>
      <c r="C130" s="33"/>
      <c r="D130" s="42" t="s">
        <v>141</v>
      </c>
      <c r="E130" s="5">
        <f>D78</f>
        <v>21.164350193437457</v>
      </c>
      <c r="F130" s="1" t="s">
        <v>142</v>
      </c>
      <c r="G130">
        <f>F78+I78*C128+L78*F128</f>
        <v>204285.31984289715</v>
      </c>
      <c r="H130" s="1" t="s">
        <v>136</v>
      </c>
      <c r="I130" s="33"/>
      <c r="J130" s="77" t="s">
        <v>169</v>
      </c>
      <c r="K130" s="77"/>
      <c r="L130" s="77"/>
      <c r="M130" s="77"/>
      <c r="N130" s="77"/>
      <c r="O130" s="77"/>
      <c r="P130" s="33"/>
      <c r="Q130" s="33"/>
      <c r="R130" s="33"/>
      <c r="S130" s="33"/>
      <c r="T130" s="33"/>
    </row>
    <row r="131" spans="1:20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4"/>
      <c r="O131" s="33"/>
      <c r="P131" s="33"/>
      <c r="Q131" s="33"/>
      <c r="R131" s="33"/>
      <c r="S131" s="33"/>
      <c r="T131" s="33"/>
    </row>
    <row r="132" spans="1:20" ht="15">
      <c r="A132" s="33"/>
      <c r="B132" s="33"/>
      <c r="C132" s="33"/>
      <c r="D132" s="42" t="s">
        <v>141</v>
      </c>
      <c r="E132" s="5">
        <f>E130</f>
        <v>21.164350193437457</v>
      </c>
      <c r="F132" s="1" t="s">
        <v>142</v>
      </c>
      <c r="G132" s="4">
        <f>G130/(3600^2)</f>
        <v>0.015762756160717373</v>
      </c>
      <c r="H132" s="1" t="s">
        <v>136</v>
      </c>
      <c r="I132" s="33"/>
      <c r="J132" s="77" t="s">
        <v>170</v>
      </c>
      <c r="K132" s="77"/>
      <c r="L132" s="77"/>
      <c r="M132" s="77"/>
      <c r="N132" s="77"/>
      <c r="O132" s="77"/>
      <c r="P132" s="33"/>
      <c r="Q132" s="33"/>
      <c r="R132" s="33"/>
      <c r="S132" s="33"/>
      <c r="T132" s="33"/>
    </row>
    <row r="133" spans="1:20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4"/>
      <c r="O133" s="33"/>
      <c r="P133" s="33"/>
      <c r="Q133" s="33"/>
      <c r="R133" s="33"/>
      <c r="S133" s="33"/>
      <c r="T133" s="33"/>
    </row>
    <row r="134" spans="1:20" ht="15">
      <c r="A134" s="33"/>
      <c r="B134" s="1" t="s">
        <v>145</v>
      </c>
      <c r="C134" s="33"/>
      <c r="D134" s="42" t="s">
        <v>147</v>
      </c>
      <c r="E134" s="2">
        <v>-0.0137</v>
      </c>
      <c r="F134" s="1" t="s">
        <v>143</v>
      </c>
      <c r="G134" s="2">
        <v>0.1357</v>
      </c>
      <c r="H134" s="1" t="s">
        <v>146</v>
      </c>
      <c r="I134" s="2">
        <v>36.5</v>
      </c>
      <c r="J134" s="33"/>
      <c r="K134" s="33"/>
      <c r="L134" s="33"/>
      <c r="M134" s="33"/>
      <c r="N134" s="34"/>
      <c r="O134" s="33"/>
      <c r="P134" s="33"/>
      <c r="Q134" s="33"/>
      <c r="R134" s="33"/>
      <c r="S134" s="33"/>
      <c r="T134" s="33"/>
    </row>
    <row r="135" spans="1:20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4"/>
      <c r="O135" s="33"/>
      <c r="P135" s="33"/>
      <c r="Q135" s="33"/>
      <c r="R135" s="33"/>
      <c r="S135" s="33"/>
      <c r="T135" s="33"/>
    </row>
    <row r="136" spans="1:20" ht="12.75">
      <c r="A136" s="33"/>
      <c r="B136" s="77" t="s">
        <v>148</v>
      </c>
      <c r="C136" s="77"/>
      <c r="D136" s="77"/>
      <c r="E136" s="77"/>
      <c r="F136" s="77"/>
      <c r="G136" s="77"/>
      <c r="H136" s="77"/>
      <c r="I136" s="77"/>
      <c r="J136" s="33"/>
      <c r="K136" s="33"/>
      <c r="L136" s="33"/>
      <c r="M136" s="33"/>
      <c r="N136" s="34"/>
      <c r="O136" s="33"/>
      <c r="P136" s="33"/>
      <c r="Q136" s="33"/>
      <c r="R136" s="33"/>
      <c r="S136" s="33"/>
      <c r="T136" s="33"/>
    </row>
    <row r="137" spans="1:20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4"/>
      <c r="O137" s="33"/>
      <c r="P137" s="33"/>
      <c r="Q137" s="33"/>
      <c r="R137" s="33"/>
      <c r="S137" s="33"/>
      <c r="T137" s="33"/>
    </row>
    <row r="138" spans="1:20" ht="12.75">
      <c r="A138" s="33"/>
      <c r="B138" s="33"/>
      <c r="C138" s="33"/>
      <c r="D138" s="33"/>
      <c r="E138" s="4">
        <f>E134-G132</f>
        <v>-0.029462756160717373</v>
      </c>
      <c r="F138" s="1" t="s">
        <v>143</v>
      </c>
      <c r="G138" s="2">
        <f>G134</f>
        <v>0.1357</v>
      </c>
      <c r="H138" s="1" t="s">
        <v>146</v>
      </c>
      <c r="I138" s="5">
        <f>I134-E130</f>
        <v>15.335649806562543</v>
      </c>
      <c r="J138" s="1" t="s">
        <v>149</v>
      </c>
      <c r="K138" s="33"/>
      <c r="L138" s="33"/>
      <c r="M138" s="33"/>
      <c r="N138" s="34"/>
      <c r="O138" s="33"/>
      <c r="P138" s="33"/>
      <c r="Q138" s="33"/>
      <c r="R138" s="33"/>
      <c r="S138" s="33"/>
      <c r="T138" s="33"/>
    </row>
    <row r="139" spans="1:20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4"/>
      <c r="O139" s="33"/>
      <c r="P139" s="33"/>
      <c r="Q139" s="33"/>
      <c r="R139" s="33"/>
      <c r="S139" s="33"/>
      <c r="T139" s="33"/>
    </row>
    <row r="140" spans="1:20" ht="12.75">
      <c r="A140" s="33"/>
      <c r="B140" s="33"/>
      <c r="C140" s="33"/>
      <c r="D140" s="33"/>
      <c r="E140" s="1" t="s">
        <v>129</v>
      </c>
      <c r="F140" s="5">
        <f>((-G138)-((G138^2)-4*E138*I138)^0.5)/(2*E138)</f>
        <v>25.23352153806505</v>
      </c>
      <c r="G140" s="1" t="s">
        <v>60</v>
      </c>
      <c r="H140" s="1" t="s">
        <v>61</v>
      </c>
      <c r="I140" s="5">
        <f>F140/3.6</f>
        <v>7.009311538351403</v>
      </c>
      <c r="J140" s="1" t="s">
        <v>62</v>
      </c>
      <c r="K140" s="33"/>
      <c r="L140" s="33"/>
      <c r="M140" s="33"/>
      <c r="N140" s="34"/>
      <c r="O140" s="33"/>
      <c r="P140" s="33"/>
      <c r="Q140" s="33"/>
      <c r="R140" s="33"/>
      <c r="S140" s="33"/>
      <c r="T140" s="33"/>
    </row>
    <row r="141" spans="1:20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4"/>
      <c r="O141" s="33"/>
      <c r="P141" s="33"/>
      <c r="Q141" s="33"/>
      <c r="R141" s="33"/>
      <c r="S141" s="33"/>
      <c r="T141" s="33"/>
    </row>
    <row r="142" spans="1:20" ht="12.75">
      <c r="A142" s="33"/>
      <c r="B142" s="77" t="s">
        <v>182</v>
      </c>
      <c r="C142" s="77"/>
      <c r="D142" s="77"/>
      <c r="E142" s="77"/>
      <c r="F142" s="77"/>
      <c r="G142" s="77"/>
      <c r="H142" s="77"/>
      <c r="I142" s="77"/>
      <c r="J142" s="33"/>
      <c r="K142" s="33"/>
      <c r="L142" s="33"/>
      <c r="M142" s="33"/>
      <c r="N142" s="34"/>
      <c r="O142" s="33"/>
      <c r="P142" s="33"/>
      <c r="Q142" s="33"/>
      <c r="R142" s="33"/>
      <c r="S142" s="33"/>
      <c r="T142" s="33"/>
    </row>
    <row r="143" spans="1:20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4"/>
      <c r="O143" s="33"/>
      <c r="P143" s="33"/>
      <c r="Q143" s="33"/>
      <c r="R143" s="33"/>
      <c r="S143" s="33"/>
      <c r="T143" s="33"/>
    </row>
    <row r="144" spans="1:20" ht="15.75">
      <c r="A144" s="33"/>
      <c r="B144" s="33"/>
      <c r="C144" s="33"/>
      <c r="D144" s="33"/>
      <c r="E144" s="42" t="s">
        <v>147</v>
      </c>
      <c r="F144" s="44">
        <f>E134*F140^2+G134*F140+I134</f>
        <v>31.200979526511126</v>
      </c>
      <c r="G144" s="1" t="s">
        <v>8</v>
      </c>
      <c r="H144" s="33"/>
      <c r="I144" s="45" t="s">
        <v>151</v>
      </c>
      <c r="J144" s="5">
        <f>-0.0811*F140^2+3.9072*F140+15.736</f>
        <v>62.689562946435146</v>
      </c>
      <c r="K144" s="1" t="s">
        <v>152</v>
      </c>
      <c r="L144" s="33"/>
      <c r="M144" s="33"/>
      <c r="N144" s="34"/>
      <c r="O144" s="33"/>
      <c r="P144" s="33"/>
      <c r="Q144" s="33"/>
      <c r="R144" s="33"/>
      <c r="S144" s="33"/>
      <c r="T144" s="33"/>
    </row>
    <row r="145" spans="1:20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4"/>
      <c r="O145" s="33"/>
      <c r="P145" s="33"/>
      <c r="Q145" s="33"/>
      <c r="R145" s="33"/>
      <c r="S145" s="33"/>
      <c r="T145" s="33"/>
    </row>
    <row r="146" spans="1:20" ht="12.75">
      <c r="A146" s="33"/>
      <c r="B146" s="77" t="s">
        <v>150</v>
      </c>
      <c r="C146" s="77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4"/>
      <c r="O146" s="33"/>
      <c r="P146" s="33"/>
      <c r="Q146" s="33"/>
      <c r="R146" s="33"/>
      <c r="S146" s="33"/>
      <c r="T146" s="33"/>
    </row>
    <row r="147" spans="1:20" ht="15">
      <c r="A147" s="33"/>
      <c r="B147" s="33"/>
      <c r="C147" s="33"/>
      <c r="D147" s="42" t="s">
        <v>153</v>
      </c>
      <c r="E147" s="5">
        <f>(C36*C39*(F140/3600)*F144)/(J144/100)</f>
        <v>3408.549329898775</v>
      </c>
      <c r="F147" s="1" t="s">
        <v>154</v>
      </c>
      <c r="G147" s="1" t="s">
        <v>61</v>
      </c>
      <c r="H147" s="5">
        <f>E147/(9.8*75)</f>
        <v>4.637482081494932</v>
      </c>
      <c r="I147" s="1" t="s">
        <v>155</v>
      </c>
      <c r="J147" s="33"/>
      <c r="K147" s="33"/>
      <c r="L147" s="33"/>
      <c r="M147" s="33"/>
      <c r="N147" s="34"/>
      <c r="O147" s="33"/>
      <c r="P147" s="33"/>
      <c r="Q147" s="33"/>
      <c r="R147" s="33"/>
      <c r="S147" s="33"/>
      <c r="T147" s="33"/>
    </row>
    <row r="148" spans="1:20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4"/>
      <c r="O148" s="33"/>
      <c r="P148" s="33"/>
      <c r="Q148" s="33"/>
      <c r="R148" s="33"/>
      <c r="S148" s="33"/>
      <c r="T148" s="33"/>
    </row>
    <row r="149" spans="1:20" ht="12.75">
      <c r="A149" s="33"/>
      <c r="B149" s="77" t="s">
        <v>171</v>
      </c>
      <c r="C149" s="77"/>
      <c r="D149" s="77"/>
      <c r="E149" s="77"/>
      <c r="F149" s="77"/>
      <c r="G149" s="77"/>
      <c r="H149" s="77"/>
      <c r="I149" s="77"/>
      <c r="J149" s="77" t="s">
        <v>172</v>
      </c>
      <c r="K149" s="77"/>
      <c r="L149" s="2">
        <f>D124</f>
        <v>1764.0000000000002</v>
      </c>
      <c r="M149" s="77" t="s">
        <v>164</v>
      </c>
      <c r="N149" s="77"/>
      <c r="O149" s="33"/>
      <c r="P149" s="33"/>
      <c r="Q149" s="33"/>
      <c r="R149" s="33"/>
      <c r="S149" s="33"/>
      <c r="T149" s="33"/>
    </row>
    <row r="150" spans="1:20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4"/>
      <c r="O150" s="33"/>
      <c r="P150" s="33"/>
      <c r="Q150" s="33"/>
      <c r="R150" s="33"/>
      <c r="S150" s="33"/>
      <c r="T150" s="33"/>
    </row>
    <row r="151" spans="1:20" ht="12.75">
      <c r="A151" s="33"/>
      <c r="B151" s="77" t="s">
        <v>174</v>
      </c>
      <c r="C151" s="77"/>
      <c r="D151" s="77" t="s">
        <v>260</v>
      </c>
      <c r="E151" s="77"/>
      <c r="F151" s="77"/>
      <c r="G151" s="33"/>
      <c r="H151" s="33"/>
      <c r="I151" s="33"/>
      <c r="J151" s="33"/>
      <c r="K151" s="33"/>
      <c r="L151" s="33"/>
      <c r="M151" s="33"/>
      <c r="N151" s="34"/>
      <c r="O151" s="33"/>
      <c r="P151" s="33"/>
      <c r="Q151" s="33"/>
      <c r="R151" s="33"/>
      <c r="S151" s="33"/>
      <c r="T151" s="33"/>
    </row>
    <row r="152" spans="1:20" ht="12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4"/>
      <c r="O152" s="33"/>
      <c r="P152" s="33"/>
      <c r="Q152" s="33"/>
      <c r="R152" s="33"/>
      <c r="S152" s="33"/>
      <c r="T152" s="33"/>
    </row>
    <row r="153" spans="1:20" ht="12.75">
      <c r="A153" s="33"/>
      <c r="B153" s="33"/>
      <c r="C153" s="33"/>
      <c r="D153" s="1" t="s">
        <v>129</v>
      </c>
      <c r="E153" s="5">
        <v>6</v>
      </c>
      <c r="F153" s="1" t="s">
        <v>62</v>
      </c>
      <c r="G153" s="33"/>
      <c r="H153" s="33"/>
      <c r="I153" s="33"/>
      <c r="J153" s="33"/>
      <c r="K153" s="33"/>
      <c r="L153" s="33"/>
      <c r="M153" s="33"/>
      <c r="N153" s="34"/>
      <c r="O153" s="33"/>
      <c r="P153" s="33"/>
      <c r="Q153" s="33"/>
      <c r="R153" s="33"/>
      <c r="S153" s="33"/>
      <c r="T153" s="33"/>
    </row>
    <row r="154" spans="1:20" ht="12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4"/>
      <c r="O154" s="33"/>
      <c r="P154" s="33"/>
      <c r="Q154" s="33"/>
      <c r="R154" s="33"/>
      <c r="S154" s="33"/>
      <c r="T154" s="33"/>
    </row>
    <row r="155" spans="1:20" ht="12.75">
      <c r="A155" s="33"/>
      <c r="B155" s="33"/>
      <c r="C155" s="33"/>
      <c r="D155" s="77" t="s">
        <v>175</v>
      </c>
      <c r="E155" s="77"/>
      <c r="F155" s="77"/>
      <c r="G155" s="33"/>
      <c r="H155" s="1" t="s">
        <v>176</v>
      </c>
      <c r="I155" s="2">
        <f>(K17-C15)+((K42)/(C36*C39))</f>
        <v>40</v>
      </c>
      <c r="J155" s="1" t="s">
        <v>8</v>
      </c>
      <c r="K155" s="33"/>
      <c r="L155" s="33"/>
      <c r="M155" s="33"/>
      <c r="N155" s="34"/>
      <c r="O155" s="33"/>
      <c r="P155" s="33"/>
      <c r="Q155" s="33"/>
      <c r="R155" s="33"/>
      <c r="S155" s="33"/>
      <c r="T155" s="33"/>
    </row>
    <row r="156" spans="1:20" ht="12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4"/>
      <c r="O156" s="33"/>
      <c r="P156" s="33"/>
      <c r="Q156" s="33"/>
      <c r="R156" s="33"/>
      <c r="S156" s="33"/>
      <c r="T156" s="33"/>
    </row>
    <row r="157" spans="1:20" ht="12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4"/>
      <c r="O157" s="33"/>
      <c r="P157" s="33"/>
      <c r="Q157" s="33"/>
      <c r="R157" s="33"/>
      <c r="S157" s="33"/>
      <c r="T157" s="33"/>
    </row>
    <row r="158" spans="1:20" ht="12.75">
      <c r="A158" s="77" t="s">
        <v>272</v>
      </c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</row>
    <row r="159" spans="1:20" ht="12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4"/>
      <c r="O159" s="33"/>
      <c r="P159" s="33"/>
      <c r="Q159" s="33"/>
      <c r="R159" s="33"/>
      <c r="S159" s="33"/>
      <c r="T159" s="33"/>
    </row>
    <row r="160" spans="1:20" ht="12.75">
      <c r="A160" s="77" t="s">
        <v>262</v>
      </c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33"/>
      <c r="Q160" s="33"/>
      <c r="R160" s="33"/>
      <c r="S160" s="33"/>
      <c r="T160" s="33"/>
    </row>
    <row r="161" spans="1:20" ht="12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4"/>
      <c r="O161" s="33"/>
      <c r="P161" s="33"/>
      <c r="Q161" s="33"/>
      <c r="R161" s="33"/>
      <c r="S161" s="33"/>
      <c r="T161" s="33"/>
    </row>
    <row r="162" spans="1:20" ht="12.75">
      <c r="A162" s="33"/>
      <c r="B162" s="35"/>
      <c r="C162" s="35"/>
      <c r="D162" s="77" t="s">
        <v>134</v>
      </c>
      <c r="E162" s="77"/>
      <c r="F162" s="77"/>
      <c r="G162" s="35"/>
      <c r="H162" s="76"/>
      <c r="I162" s="76"/>
      <c r="J162" s="76"/>
      <c r="K162" s="35"/>
      <c r="L162" s="77" t="s">
        <v>131</v>
      </c>
      <c r="M162" s="77"/>
      <c r="N162" s="77"/>
      <c r="O162" s="35"/>
      <c r="P162" s="33"/>
      <c r="Q162" s="33"/>
      <c r="R162" s="33"/>
      <c r="S162" s="33"/>
      <c r="T162" s="33"/>
    </row>
    <row r="163" spans="1:20" ht="12.75">
      <c r="A163" s="33"/>
      <c r="B163" s="33"/>
      <c r="C163" s="33"/>
      <c r="D163" s="34"/>
      <c r="E163" s="33"/>
      <c r="F163" s="33"/>
      <c r="G163" s="33"/>
      <c r="H163" s="33"/>
      <c r="I163" s="33"/>
      <c r="J163" s="33"/>
      <c r="K163" s="33"/>
      <c r="L163" s="34"/>
      <c r="M163" s="33"/>
      <c r="N163" s="33"/>
      <c r="O163" s="33"/>
      <c r="P163" s="33"/>
      <c r="Q163" s="33"/>
      <c r="R163" s="33"/>
      <c r="S163" s="33"/>
      <c r="T163" s="33"/>
    </row>
    <row r="164" spans="1:20" ht="12.75">
      <c r="A164" s="33"/>
      <c r="B164" s="33"/>
      <c r="C164" s="33"/>
      <c r="D164" s="1" t="s">
        <v>132</v>
      </c>
      <c r="E164" s="5">
        <f>K22+K20+C24</f>
        <v>96.5</v>
      </c>
      <c r="F164" s="1" t="s">
        <v>8</v>
      </c>
      <c r="G164" s="33"/>
      <c r="H164" s="37"/>
      <c r="I164" s="69"/>
      <c r="J164" s="37"/>
      <c r="K164" s="33"/>
      <c r="L164" s="1" t="s">
        <v>132</v>
      </c>
      <c r="M164" s="2">
        <f>C20+G24</f>
        <v>5</v>
      </c>
      <c r="N164" s="1" t="s">
        <v>8</v>
      </c>
      <c r="O164" s="33"/>
      <c r="P164" s="33"/>
      <c r="Q164" s="33"/>
      <c r="R164" s="33"/>
      <c r="S164" s="33"/>
      <c r="T164" s="33"/>
    </row>
    <row r="165" spans="1:20" ht="12.75">
      <c r="A165" s="33"/>
      <c r="B165" s="33"/>
      <c r="C165" s="33"/>
      <c r="D165" s="34"/>
      <c r="E165" s="33"/>
      <c r="F165" s="33"/>
      <c r="G165" s="33"/>
      <c r="H165" s="34"/>
      <c r="I165" s="33"/>
      <c r="J165" s="33"/>
      <c r="K165" s="33"/>
      <c r="L165" s="34"/>
      <c r="M165" s="33"/>
      <c r="N165" s="33"/>
      <c r="O165" s="33"/>
      <c r="P165" s="33"/>
      <c r="Q165" s="33"/>
      <c r="R165" s="33"/>
      <c r="S165" s="33"/>
      <c r="T165" s="33"/>
    </row>
    <row r="166" spans="1:20" ht="12.75">
      <c r="A166" s="33"/>
      <c r="B166" s="33"/>
      <c r="C166" s="33"/>
      <c r="D166" s="40" t="s">
        <v>133</v>
      </c>
      <c r="E166" s="2">
        <f>R43+R55+R56+R23+R24+R25+R26+R47+R48+R49+R30+R50+R51+R52+R53+R54+16*R57</f>
        <v>25.359999999999996</v>
      </c>
      <c r="F166" s="1" t="s">
        <v>8</v>
      </c>
      <c r="G166" s="33"/>
      <c r="H166" s="70"/>
      <c r="I166" s="34"/>
      <c r="J166" s="37"/>
      <c r="K166" s="33"/>
      <c r="L166" s="40" t="s">
        <v>133</v>
      </c>
      <c r="M166" s="2">
        <f>O63</f>
        <v>7.8500000000000005</v>
      </c>
      <c r="N166" s="1" t="s">
        <v>8</v>
      </c>
      <c r="O166" s="33"/>
      <c r="P166" s="33"/>
      <c r="Q166" s="33"/>
      <c r="R166" s="33"/>
      <c r="S166" s="33"/>
      <c r="T166" s="33"/>
    </row>
    <row r="167" spans="1:20" ht="12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4"/>
      <c r="O167" s="33"/>
      <c r="P167" s="33"/>
      <c r="Q167" s="33"/>
      <c r="R167" s="33"/>
      <c r="S167" s="33"/>
      <c r="T167" s="33"/>
    </row>
    <row r="168" spans="1:20" ht="15">
      <c r="A168" s="33"/>
      <c r="B168" s="33"/>
      <c r="C168" s="33"/>
      <c r="D168" s="42" t="s">
        <v>137</v>
      </c>
      <c r="E168" s="1" t="s">
        <v>135</v>
      </c>
      <c r="F168" s="42" t="s">
        <v>138</v>
      </c>
      <c r="G168" s="41">
        <f>((M164+M166)/((E27/1000)*2*C39*(I27/10000)^2))</f>
        <v>369890.2131500833</v>
      </c>
      <c r="H168" s="20" t="s">
        <v>136</v>
      </c>
      <c r="I168" s="33"/>
      <c r="J168" s="33"/>
      <c r="K168" s="33"/>
      <c r="L168" s="33"/>
      <c r="M168" s="33"/>
      <c r="N168" s="34"/>
      <c r="O168" s="33"/>
      <c r="P168" s="33"/>
      <c r="Q168" s="33"/>
      <c r="R168" s="33"/>
      <c r="S168" s="33"/>
      <c r="T168" s="33"/>
    </row>
    <row r="169" spans="1:20" ht="12.75">
      <c r="A169" s="33"/>
      <c r="B169" s="33"/>
      <c r="C169" s="33"/>
      <c r="D169" s="33"/>
      <c r="E169" s="33"/>
      <c r="F169" s="34"/>
      <c r="G169" s="33"/>
      <c r="H169" s="33"/>
      <c r="I169" s="33"/>
      <c r="J169" s="33"/>
      <c r="K169" s="33"/>
      <c r="L169" s="33"/>
      <c r="M169" s="33"/>
      <c r="N169" s="34"/>
      <c r="O169" s="33"/>
      <c r="P169" s="33"/>
      <c r="Q169" s="33"/>
      <c r="R169" s="33"/>
      <c r="S169" s="33"/>
      <c r="T169" s="33"/>
    </row>
    <row r="170" spans="1:20" ht="15">
      <c r="A170" s="33"/>
      <c r="B170" s="33"/>
      <c r="C170" s="33"/>
      <c r="D170" s="42" t="s">
        <v>139</v>
      </c>
      <c r="E170" s="1" t="s">
        <v>135</v>
      </c>
      <c r="F170" s="42" t="s">
        <v>140</v>
      </c>
      <c r="G170" s="43">
        <f>((E164+E166)/((E29/1000)*2*C39*(I29/10000)^2))</f>
        <v>25149324.890457723</v>
      </c>
      <c r="H170" s="20" t="s">
        <v>136</v>
      </c>
      <c r="I170" s="33"/>
      <c r="J170" s="71"/>
      <c r="K170" s="37"/>
      <c r="L170" s="71"/>
      <c r="M170" s="72"/>
      <c r="N170" s="36"/>
      <c r="O170" s="33"/>
      <c r="P170" s="33"/>
      <c r="Q170" s="33"/>
      <c r="R170" s="33"/>
      <c r="S170" s="33"/>
      <c r="T170" s="33"/>
    </row>
    <row r="171" spans="1:20" ht="12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4"/>
      <c r="N171" s="34"/>
      <c r="O171" s="33"/>
      <c r="P171" s="33"/>
      <c r="Q171" s="33"/>
      <c r="R171" s="33"/>
      <c r="S171" s="33"/>
      <c r="T171" s="33"/>
    </row>
    <row r="172" spans="1:20" ht="15">
      <c r="A172" s="1" t="s">
        <v>144</v>
      </c>
      <c r="B172" s="33"/>
      <c r="C172" s="42" t="s">
        <v>141</v>
      </c>
      <c r="D172" s="5">
        <f>I155</f>
        <v>40</v>
      </c>
      <c r="E172" s="1" t="s">
        <v>142</v>
      </c>
      <c r="F172" s="41">
        <f>1/(2*C39*(I29/10000)^2)</f>
        <v>10834.888862210983</v>
      </c>
      <c r="G172" s="1" t="s">
        <v>143</v>
      </c>
      <c r="H172" s="42" t="s">
        <v>138</v>
      </c>
      <c r="I172" s="43">
        <f>G168</f>
        <v>369890.2131500833</v>
      </c>
      <c r="J172" s="1" t="s">
        <v>143</v>
      </c>
      <c r="K172" s="42" t="s">
        <v>140</v>
      </c>
      <c r="L172" s="43">
        <f>G170</f>
        <v>25149324.890457723</v>
      </c>
      <c r="M172" s="1" t="s">
        <v>273</v>
      </c>
      <c r="N172" s="74"/>
      <c r="O172" s="36"/>
      <c r="P172" s="33"/>
      <c r="Q172" s="33"/>
      <c r="R172" s="33"/>
      <c r="S172" s="33"/>
      <c r="T172" s="33"/>
    </row>
    <row r="173" spans="1:20" ht="12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4"/>
      <c r="O173" s="33"/>
      <c r="P173" s="33"/>
      <c r="Q173" s="33"/>
      <c r="R173" s="33"/>
      <c r="S173" s="33"/>
      <c r="T173" s="33"/>
    </row>
    <row r="174" spans="1:20" ht="12.75">
      <c r="A174" s="33"/>
      <c r="B174" s="33"/>
      <c r="C174" s="33"/>
      <c r="D174" s="77" t="s">
        <v>178</v>
      </c>
      <c r="E174" s="77"/>
      <c r="F174" s="77"/>
      <c r="G174" s="77"/>
      <c r="H174" s="77"/>
      <c r="I174" s="77"/>
      <c r="J174" s="77"/>
      <c r="K174" s="77"/>
      <c r="L174" s="77"/>
      <c r="M174" s="77"/>
      <c r="N174" s="34"/>
      <c r="O174" s="33"/>
      <c r="P174" s="33"/>
      <c r="Q174" s="33"/>
      <c r="R174" s="33"/>
      <c r="S174" s="33"/>
      <c r="T174" s="33"/>
    </row>
    <row r="175" spans="1:20" ht="12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4"/>
      <c r="O175" s="33"/>
      <c r="P175" s="33"/>
      <c r="Q175" s="33"/>
      <c r="R175" s="33"/>
      <c r="S175" s="33"/>
      <c r="T175" s="33"/>
    </row>
    <row r="176" spans="1:20" ht="12.75">
      <c r="A176" s="33"/>
      <c r="B176" s="33"/>
      <c r="C176" s="1" t="s">
        <v>166</v>
      </c>
      <c r="D176" s="4">
        <f>C128</f>
        <v>0.02137597248010651</v>
      </c>
      <c r="E176" s="33"/>
      <c r="F176" s="1" t="s">
        <v>168</v>
      </c>
      <c r="G176" s="4">
        <f>F128</f>
        <v>0.021481604226560667</v>
      </c>
      <c r="H176" s="33"/>
      <c r="I176" s="1" t="s">
        <v>263</v>
      </c>
      <c r="J176" s="4">
        <f>G94/10</f>
        <v>0</v>
      </c>
      <c r="K176" s="33"/>
      <c r="L176" s="33"/>
      <c r="M176" s="33"/>
      <c r="N176" s="34"/>
      <c r="O176" s="33"/>
      <c r="P176" s="33"/>
      <c r="Q176" s="33"/>
      <c r="R176" s="33"/>
      <c r="S176" s="33"/>
      <c r="T176" s="33"/>
    </row>
    <row r="177" spans="1:20" ht="12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4"/>
      <c r="O177" s="33"/>
      <c r="P177" s="33"/>
      <c r="Q177" s="33"/>
      <c r="R177" s="33"/>
      <c r="S177" s="33"/>
      <c r="T177" s="33"/>
    </row>
    <row r="178" spans="1:20" ht="15">
      <c r="A178" s="1" t="s">
        <v>144</v>
      </c>
      <c r="B178" s="33"/>
      <c r="C178" s="42" t="s">
        <v>141</v>
      </c>
      <c r="D178" s="5">
        <f>D172</f>
        <v>40</v>
      </c>
      <c r="E178" s="1" t="s">
        <v>142</v>
      </c>
      <c r="F178">
        <f>F172+I172*D176+L172*G176+N172*J176</f>
        <v>558989.4957411719</v>
      </c>
      <c r="G178" s="1" t="s">
        <v>136</v>
      </c>
      <c r="H178" s="33"/>
      <c r="I178" s="77" t="s">
        <v>169</v>
      </c>
      <c r="J178" s="77"/>
      <c r="K178" s="77"/>
      <c r="L178" s="77"/>
      <c r="M178" s="77"/>
      <c r="N178" s="77"/>
      <c r="O178" s="33"/>
      <c r="P178" s="33"/>
      <c r="Q178" s="33"/>
      <c r="R178" s="33"/>
      <c r="S178" s="33"/>
      <c r="T178" s="33"/>
    </row>
    <row r="179" spans="1:20" ht="12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4"/>
      <c r="N179" s="33"/>
      <c r="O179" s="33"/>
      <c r="P179" s="33"/>
      <c r="Q179" s="33"/>
      <c r="R179" s="33"/>
      <c r="S179" s="33"/>
      <c r="T179" s="33"/>
    </row>
    <row r="180" spans="1:20" ht="15">
      <c r="A180" s="33"/>
      <c r="B180" s="33"/>
      <c r="C180" s="42" t="s">
        <v>141</v>
      </c>
      <c r="D180" s="5">
        <f>D178</f>
        <v>40</v>
      </c>
      <c r="E180" s="1" t="s">
        <v>142</v>
      </c>
      <c r="F180" s="4">
        <f>F178/(3600^2)</f>
        <v>0.04313190553558425</v>
      </c>
      <c r="G180" s="1" t="s">
        <v>136</v>
      </c>
      <c r="H180" s="33"/>
      <c r="I180" s="77" t="s">
        <v>170</v>
      </c>
      <c r="J180" s="77"/>
      <c r="K180" s="77"/>
      <c r="L180" s="77"/>
      <c r="M180" s="77"/>
      <c r="N180" s="77"/>
      <c r="O180" s="33"/>
      <c r="P180" s="33"/>
      <c r="Q180" s="33"/>
      <c r="R180" s="33"/>
      <c r="S180" s="33"/>
      <c r="T180" s="33"/>
    </row>
    <row r="181" spans="1:20" ht="12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4"/>
      <c r="O181" s="33"/>
      <c r="P181" s="33"/>
      <c r="Q181" s="33"/>
      <c r="R181" s="33"/>
      <c r="S181" s="33"/>
      <c r="T181" s="33"/>
    </row>
    <row r="182" spans="1:20" ht="15">
      <c r="A182" s="20" t="s">
        <v>179</v>
      </c>
      <c r="B182" s="33"/>
      <c r="C182" s="42" t="s">
        <v>180</v>
      </c>
      <c r="D182" s="2">
        <f>2*E134</f>
        <v>-0.0274</v>
      </c>
      <c r="E182" s="1" t="s">
        <v>143</v>
      </c>
      <c r="F182" s="2">
        <f>2*G134</f>
        <v>0.2714</v>
      </c>
      <c r="G182" s="1" t="s">
        <v>146</v>
      </c>
      <c r="H182" s="2">
        <f>2*I134</f>
        <v>73</v>
      </c>
      <c r="I182" s="33"/>
      <c r="J182" s="33"/>
      <c r="K182" s="33"/>
      <c r="L182" s="33"/>
      <c r="M182" s="33"/>
      <c r="N182" s="34"/>
      <c r="O182" s="33"/>
      <c r="P182" s="33"/>
      <c r="Q182" s="33"/>
      <c r="R182" s="33"/>
      <c r="S182" s="33"/>
      <c r="T182" s="33"/>
    </row>
    <row r="183" spans="1:20" ht="12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4"/>
      <c r="O183" s="33"/>
      <c r="P183" s="33"/>
      <c r="Q183" s="33"/>
      <c r="R183" s="33"/>
      <c r="S183" s="33"/>
      <c r="T183" s="33"/>
    </row>
    <row r="184" spans="1:20" ht="12.75">
      <c r="A184" s="33"/>
      <c r="B184" s="33"/>
      <c r="C184" s="77" t="s">
        <v>148</v>
      </c>
      <c r="D184" s="77"/>
      <c r="E184" s="77"/>
      <c r="F184" s="77"/>
      <c r="G184" s="77"/>
      <c r="H184" s="77"/>
      <c r="I184" s="77"/>
      <c r="J184" s="77"/>
      <c r="K184" s="33"/>
      <c r="L184" s="33"/>
      <c r="M184" s="33"/>
      <c r="N184" s="34"/>
      <c r="O184" s="33"/>
      <c r="P184" s="33"/>
      <c r="Q184" s="33"/>
      <c r="R184" s="33"/>
      <c r="S184" s="33"/>
      <c r="T184" s="33"/>
    </row>
    <row r="185" spans="1:20" ht="12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4"/>
      <c r="O185" s="33"/>
      <c r="P185" s="33"/>
      <c r="Q185" s="33"/>
      <c r="R185" s="33"/>
      <c r="S185" s="33"/>
      <c r="T185" s="33"/>
    </row>
    <row r="186" spans="1:20" ht="12.75">
      <c r="A186" s="33"/>
      <c r="B186" s="33"/>
      <c r="C186" s="33"/>
      <c r="D186" s="33"/>
      <c r="E186" s="33"/>
      <c r="F186" s="4">
        <f>D182-F180</f>
        <v>-0.07053190553558425</v>
      </c>
      <c r="G186" s="1" t="s">
        <v>143</v>
      </c>
      <c r="H186" s="2">
        <f>F182</f>
        <v>0.2714</v>
      </c>
      <c r="I186" s="1" t="s">
        <v>146</v>
      </c>
      <c r="J186" s="5">
        <f>H182-D180</f>
        <v>33</v>
      </c>
      <c r="K186" s="1" t="s">
        <v>149</v>
      </c>
      <c r="L186" s="33"/>
      <c r="M186" s="33"/>
      <c r="N186" s="34"/>
      <c r="O186" s="33"/>
      <c r="P186" s="33"/>
      <c r="Q186" s="33"/>
      <c r="R186" s="33"/>
      <c r="S186" s="33"/>
      <c r="T186" s="33"/>
    </row>
    <row r="187" spans="1:20" ht="12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4"/>
      <c r="O187" s="33"/>
      <c r="P187" s="33"/>
      <c r="Q187" s="33"/>
      <c r="R187" s="33"/>
      <c r="S187" s="33"/>
      <c r="T187" s="33"/>
    </row>
    <row r="188" spans="1:20" ht="12.75">
      <c r="A188" s="33"/>
      <c r="B188" s="33"/>
      <c r="C188" s="33"/>
      <c r="D188" s="33"/>
      <c r="E188" s="33"/>
      <c r="F188" s="1" t="s">
        <v>181</v>
      </c>
      <c r="G188" s="5">
        <f>((-H186)-((H186^2)-4*F186*J186)^0.5)/(2*F186)</f>
        <v>23.639728662607734</v>
      </c>
      <c r="H188" s="1" t="s">
        <v>60</v>
      </c>
      <c r="I188" s="1" t="s">
        <v>61</v>
      </c>
      <c r="J188" s="5">
        <f>G188/3.6</f>
        <v>6.566591295168815</v>
      </c>
      <c r="K188" s="1" t="s">
        <v>62</v>
      </c>
      <c r="L188" s="33"/>
      <c r="M188" s="33"/>
      <c r="N188" s="34"/>
      <c r="O188" s="33"/>
      <c r="P188" s="33"/>
      <c r="Q188" s="33"/>
      <c r="R188" s="33"/>
      <c r="S188" s="33"/>
      <c r="T188" s="33"/>
    </row>
    <row r="189" spans="1:20" ht="12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4"/>
      <c r="O189" s="33"/>
      <c r="P189" s="33"/>
      <c r="Q189" s="33"/>
      <c r="R189" s="33"/>
      <c r="S189" s="33"/>
      <c r="T189" s="33"/>
    </row>
    <row r="190" spans="1:20" ht="12.75">
      <c r="A190" s="33"/>
      <c r="B190" s="33"/>
      <c r="C190" s="77" t="s">
        <v>182</v>
      </c>
      <c r="D190" s="77"/>
      <c r="E190" s="77"/>
      <c r="F190" s="77"/>
      <c r="G190" s="77"/>
      <c r="H190" s="77"/>
      <c r="I190" s="77"/>
      <c r="J190" s="77"/>
      <c r="K190" s="33"/>
      <c r="L190" s="33"/>
      <c r="M190" s="33"/>
      <c r="N190" s="34"/>
      <c r="O190" s="33"/>
      <c r="P190" s="33"/>
      <c r="Q190" s="33"/>
      <c r="R190" s="33"/>
      <c r="S190" s="33"/>
      <c r="T190" s="33"/>
    </row>
    <row r="191" spans="1:20" ht="12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4"/>
      <c r="O191" s="33"/>
      <c r="P191" s="33"/>
      <c r="Q191" s="33"/>
      <c r="R191" s="33"/>
      <c r="S191" s="33"/>
      <c r="T191" s="33"/>
    </row>
    <row r="192" spans="1:20" ht="15.75">
      <c r="A192" s="33"/>
      <c r="B192" s="33"/>
      <c r="C192" s="33"/>
      <c r="D192" s="33"/>
      <c r="E192" s="33"/>
      <c r="F192" s="42" t="s">
        <v>147</v>
      </c>
      <c r="G192" s="44">
        <f>D182*G188^2+F182*G188+H182</f>
        <v>64.10369482700867</v>
      </c>
      <c r="H192" s="1" t="s">
        <v>8</v>
      </c>
      <c r="I192" s="33"/>
      <c r="J192" s="45" t="s">
        <v>151</v>
      </c>
      <c r="K192" s="5">
        <f>-0.0811*G188^2+3.9072*G188+15.736</f>
        <v>62.77948568283763</v>
      </c>
      <c r="L192" s="1" t="s">
        <v>152</v>
      </c>
      <c r="M192" s="33"/>
      <c r="N192" s="34"/>
      <c r="O192" s="33"/>
      <c r="P192" s="33"/>
      <c r="Q192" s="33"/>
      <c r="R192" s="33"/>
      <c r="S192" s="33"/>
      <c r="T192" s="33"/>
    </row>
    <row r="193" spans="1:20" ht="12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4"/>
      <c r="O193" s="33"/>
      <c r="P193" s="33"/>
      <c r="Q193" s="33"/>
      <c r="R193" s="33"/>
      <c r="S193" s="33"/>
      <c r="T193" s="33"/>
    </row>
    <row r="194" spans="1:20" ht="12.75">
      <c r="A194" s="33"/>
      <c r="B194" s="33"/>
      <c r="C194" s="77" t="s">
        <v>183</v>
      </c>
      <c r="D194" s="77"/>
      <c r="E194" s="77"/>
      <c r="F194" s="77"/>
      <c r="G194" s="77"/>
      <c r="H194" s="33"/>
      <c r="I194" s="33"/>
      <c r="J194" s="33"/>
      <c r="K194" s="33"/>
      <c r="L194" s="33"/>
      <c r="M194" s="33"/>
      <c r="N194" s="34"/>
      <c r="O194" s="33"/>
      <c r="P194" s="33"/>
      <c r="Q194" s="33"/>
      <c r="R194" s="33"/>
      <c r="S194" s="33"/>
      <c r="T194" s="33"/>
    </row>
    <row r="195" spans="1:20" ht="15">
      <c r="A195" s="33"/>
      <c r="B195" s="33"/>
      <c r="C195" s="33"/>
      <c r="D195" s="33"/>
      <c r="E195" s="42" t="s">
        <v>153</v>
      </c>
      <c r="F195" s="5">
        <f>(C36*C39*(G188/3600)*(G192/2))/(K192/100)</f>
        <v>3275.642775259258</v>
      </c>
      <c r="G195" s="1" t="s">
        <v>154</v>
      </c>
      <c r="H195" s="1" t="s">
        <v>61</v>
      </c>
      <c r="I195" s="5">
        <f>F195/(9.8*75)</f>
        <v>4.456656837087426</v>
      </c>
      <c r="J195" s="1" t="s">
        <v>155</v>
      </c>
      <c r="K195" s="33"/>
      <c r="L195" s="33"/>
      <c r="M195" s="33"/>
      <c r="N195" s="34"/>
      <c r="O195" s="33"/>
      <c r="P195" s="33"/>
      <c r="Q195" s="33"/>
      <c r="R195" s="33"/>
      <c r="S195" s="33"/>
      <c r="T195" s="33"/>
    </row>
    <row r="196" spans="1:20" ht="12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4"/>
      <c r="O196" s="33"/>
      <c r="P196" s="33"/>
      <c r="Q196" s="33"/>
      <c r="R196" s="33"/>
      <c r="S196" s="33"/>
      <c r="T196" s="33"/>
    </row>
    <row r="197" spans="1:20" ht="12.75">
      <c r="A197" s="33"/>
      <c r="B197" s="33"/>
      <c r="C197" s="77" t="s">
        <v>184</v>
      </c>
      <c r="D197" s="77"/>
      <c r="E197" s="77"/>
      <c r="F197" s="77"/>
      <c r="G197" s="77"/>
      <c r="H197" s="77"/>
      <c r="I197" s="77"/>
      <c r="J197" s="77"/>
      <c r="K197" s="33"/>
      <c r="L197" s="33"/>
      <c r="M197" s="33"/>
      <c r="N197" s="34"/>
      <c r="O197" s="33"/>
      <c r="P197" s="33"/>
      <c r="Q197" s="33"/>
      <c r="R197" s="33"/>
      <c r="S197" s="33"/>
      <c r="T197" s="33"/>
    </row>
    <row r="198" spans="1:20" ht="12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4"/>
      <c r="O198" s="33"/>
      <c r="P198" s="33"/>
      <c r="Q198" s="33"/>
      <c r="R198" s="33"/>
      <c r="S198" s="33"/>
      <c r="T198" s="33"/>
    </row>
    <row r="199" spans="1:20" ht="12.75">
      <c r="A199" s="33"/>
      <c r="B199" s="33"/>
      <c r="C199" s="77" t="s">
        <v>173</v>
      </c>
      <c r="D199" s="77"/>
      <c r="E199" s="77"/>
      <c r="F199" s="77"/>
      <c r="G199" s="77"/>
      <c r="H199" s="77"/>
      <c r="I199" s="33"/>
      <c r="J199" s="33"/>
      <c r="K199" s="33"/>
      <c r="L199" s="33"/>
      <c r="M199" s="33"/>
      <c r="N199" s="34"/>
      <c r="O199" s="33"/>
      <c r="P199" s="33"/>
      <c r="Q199" s="33"/>
      <c r="R199" s="33"/>
      <c r="S199" s="33"/>
      <c r="T199" s="33"/>
    </row>
    <row r="200" spans="1:20" ht="12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4"/>
      <c r="O200" s="33"/>
      <c r="P200" s="33"/>
      <c r="Q200" s="33"/>
      <c r="R200" s="33"/>
      <c r="S200" s="33"/>
      <c r="T200" s="33"/>
    </row>
    <row r="201" spans="1:20" ht="12.75">
      <c r="A201" s="33"/>
      <c r="B201" s="33"/>
      <c r="C201" s="33"/>
      <c r="D201" s="1" t="s">
        <v>162</v>
      </c>
      <c r="E201" s="2">
        <v>30</v>
      </c>
      <c r="F201" s="33"/>
      <c r="G201" s="33"/>
      <c r="H201" s="33"/>
      <c r="I201" s="33"/>
      <c r="J201" s="33"/>
      <c r="K201" s="33"/>
      <c r="L201" s="33"/>
      <c r="M201" s="33"/>
      <c r="N201" s="34"/>
      <c r="O201" s="33"/>
      <c r="P201" s="33"/>
      <c r="Q201" s="33"/>
      <c r="R201" s="33"/>
      <c r="S201" s="33"/>
      <c r="T201" s="33"/>
    </row>
    <row r="202" spans="1:20" ht="12.7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4"/>
      <c r="O202" s="33"/>
      <c r="P202" s="33"/>
      <c r="Q202" s="33"/>
      <c r="R202" s="33"/>
      <c r="S202" s="33"/>
      <c r="T202" s="33"/>
    </row>
    <row r="203" spans="1:20" ht="12.75">
      <c r="A203" s="33"/>
      <c r="B203" s="33"/>
      <c r="C203" s="33"/>
      <c r="D203" s="1" t="s">
        <v>163</v>
      </c>
      <c r="E203" s="2">
        <v>16</v>
      </c>
      <c r="F203" s="33"/>
      <c r="G203" s="33"/>
      <c r="H203" s="33"/>
      <c r="I203" s="33"/>
      <c r="J203" s="33"/>
      <c r="K203" s="33"/>
      <c r="L203" s="33"/>
      <c r="M203" s="33"/>
      <c r="N203" s="34"/>
      <c r="O203" s="33"/>
      <c r="P203" s="33"/>
      <c r="Q203" s="33"/>
      <c r="R203" s="33"/>
      <c r="S203" s="33"/>
      <c r="T203" s="33"/>
    </row>
    <row r="204" spans="1:20" ht="12.7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4"/>
      <c r="O204" s="33"/>
      <c r="P204" s="33"/>
      <c r="Q204" s="33"/>
      <c r="R204" s="33"/>
      <c r="S204" s="33"/>
      <c r="T204" s="33"/>
    </row>
    <row r="205" spans="1:20" ht="12.75">
      <c r="A205" s="33"/>
      <c r="B205" s="33"/>
      <c r="C205" s="33"/>
      <c r="D205" s="77" t="s">
        <v>172</v>
      </c>
      <c r="E205" s="77"/>
      <c r="F205" s="2">
        <f>2*((5*75*9.8*E201*E203)/1000)</f>
        <v>3528.0000000000005</v>
      </c>
      <c r="G205" s="1" t="s">
        <v>164</v>
      </c>
      <c r="H205" s="33"/>
      <c r="I205" s="33"/>
      <c r="J205" s="33"/>
      <c r="K205" s="33"/>
      <c r="L205" s="33"/>
      <c r="M205" s="33"/>
      <c r="N205" s="34"/>
      <c r="O205" s="33"/>
      <c r="P205" s="33"/>
      <c r="Q205" s="33"/>
      <c r="R205" s="33"/>
      <c r="S205" s="33"/>
      <c r="T205" s="33"/>
    </row>
    <row r="206" spans="1:20" ht="12.7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4"/>
      <c r="O206" s="33"/>
      <c r="P206" s="33"/>
      <c r="Q206" s="33"/>
      <c r="R206" s="33"/>
      <c r="S206" s="33"/>
      <c r="T206" s="33"/>
    </row>
    <row r="207" spans="1:20" ht="12.75">
      <c r="A207" s="33"/>
      <c r="B207" s="33"/>
      <c r="C207" s="77" t="s">
        <v>186</v>
      </c>
      <c r="D207" s="77"/>
      <c r="E207" s="77"/>
      <c r="F207" s="77"/>
      <c r="G207" s="77"/>
      <c r="H207" s="77"/>
      <c r="I207" s="77"/>
      <c r="J207" s="77"/>
      <c r="K207" s="77"/>
      <c r="L207" s="77"/>
      <c r="M207" s="33"/>
      <c r="N207" s="34"/>
      <c r="O207" s="33"/>
      <c r="P207" s="33"/>
      <c r="Q207" s="33"/>
      <c r="R207" s="33"/>
      <c r="S207" s="33"/>
      <c r="T207" s="33"/>
    </row>
    <row r="208" spans="1:20" ht="12.75">
      <c r="A208" s="33"/>
      <c r="B208" s="33"/>
      <c r="C208" s="2" t="s">
        <v>1</v>
      </c>
      <c r="D208" s="2" t="s">
        <v>49</v>
      </c>
      <c r="E208" s="2" t="s">
        <v>50</v>
      </c>
      <c r="F208" s="2" t="s">
        <v>52</v>
      </c>
      <c r="G208" s="2" t="s">
        <v>264</v>
      </c>
      <c r="H208" s="33"/>
      <c r="I208" s="33"/>
      <c r="J208" s="33"/>
      <c r="K208" s="33"/>
      <c r="L208" s="33"/>
      <c r="M208" s="33"/>
      <c r="N208" s="34"/>
      <c r="O208" s="33"/>
      <c r="P208" s="33"/>
      <c r="Q208" s="33"/>
      <c r="R208" s="33"/>
      <c r="S208" s="33"/>
      <c r="T208" s="33"/>
    </row>
    <row r="209" spans="1:20" ht="12.75">
      <c r="A209" s="33"/>
      <c r="B209" s="33"/>
      <c r="C209" s="2">
        <v>0</v>
      </c>
      <c r="F209" s="2">
        <f>$D$172+$F$172*(C209/3600)^2+$I$172*((C209/3600)^2)*D209+$L$172*((C209/3600)^2)*E209</f>
        <v>40</v>
      </c>
      <c r="G209" s="64"/>
      <c r="H209" s="33"/>
      <c r="I209" s="33"/>
      <c r="J209" s="33"/>
      <c r="K209" s="33"/>
      <c r="L209" s="33"/>
      <c r="M209" s="33"/>
      <c r="N209" s="34"/>
      <c r="O209" s="33"/>
      <c r="P209" s="33"/>
      <c r="Q209" s="33"/>
      <c r="R209" s="33"/>
      <c r="S209" s="33"/>
      <c r="T209" s="33"/>
    </row>
    <row r="210" spans="1:20" ht="12.75">
      <c r="A210" s="33"/>
      <c r="B210" s="33"/>
      <c r="C210" s="2">
        <v>6</v>
      </c>
      <c r="D210" s="4">
        <v>0.02491992506023805</v>
      </c>
      <c r="E210" s="4">
        <v>0.02401962197592115</v>
      </c>
      <c r="F210" s="5">
        <f aca="true" t="shared" si="1" ref="F210:F219">$D$172+$F$172*(C210/3600)^2+$I$172*((C210/3600)^2)*D210+$L$172*((C210/3600)^2)*E210</f>
        <v>41.73369389464679</v>
      </c>
      <c r="G210" s="46">
        <f>'det f 1,5"'!B24</f>
        <v>0.02389786322465496</v>
      </c>
      <c r="H210" s="33"/>
      <c r="I210" s="33"/>
      <c r="J210" s="33"/>
      <c r="K210" s="33"/>
      <c r="L210" s="33"/>
      <c r="M210" s="33"/>
      <c r="N210" s="34"/>
      <c r="O210" s="33"/>
      <c r="P210" s="33"/>
      <c r="Q210" s="33"/>
      <c r="R210" s="33"/>
      <c r="S210" s="33"/>
      <c r="T210" s="33"/>
    </row>
    <row r="211" spans="1:20" ht="12.75">
      <c r="A211" s="33"/>
      <c r="B211" s="33"/>
      <c r="C211" s="2">
        <v>8</v>
      </c>
      <c r="D211" s="4">
        <v>0.023646740236917548</v>
      </c>
      <c r="E211" s="4">
        <v>0.023064724155488152</v>
      </c>
      <c r="F211" s="5">
        <f t="shared" si="1"/>
        <v>42.96120408861189</v>
      </c>
      <c r="G211" s="46">
        <f>'det f 1,5"'!B25</f>
        <v>0.023142052944031922</v>
      </c>
      <c r="H211" s="33"/>
      <c r="I211" s="33"/>
      <c r="J211" s="33"/>
      <c r="K211" s="33"/>
      <c r="L211" s="33"/>
      <c r="M211" s="33"/>
      <c r="N211" s="34"/>
      <c r="O211" s="33"/>
      <c r="P211" s="33"/>
      <c r="Q211" s="33"/>
      <c r="R211" s="33"/>
      <c r="S211" s="33"/>
      <c r="T211" s="33"/>
    </row>
    <row r="212" spans="1:20" ht="12.75">
      <c r="A212" s="33"/>
      <c r="B212" s="33"/>
      <c r="C212" s="2">
        <v>10</v>
      </c>
      <c r="D212" s="4">
        <v>0.02277549499664984</v>
      </c>
      <c r="E212" s="4">
        <v>0.02242879821306807</v>
      </c>
      <c r="F212" s="5">
        <f t="shared" si="1"/>
        <v>44.500991162994495</v>
      </c>
      <c r="G212" s="46">
        <f>'det f 1,5"'!B26</f>
        <v>0.022649336685245186</v>
      </c>
      <c r="H212" s="33"/>
      <c r="I212" s="33"/>
      <c r="J212" s="33"/>
      <c r="K212" s="33"/>
      <c r="L212" s="33"/>
      <c r="M212" s="33"/>
      <c r="N212" s="34"/>
      <c r="O212" s="33"/>
      <c r="P212" s="33"/>
      <c r="Q212" s="33"/>
      <c r="R212" s="33"/>
      <c r="S212" s="33"/>
      <c r="T212" s="33"/>
    </row>
    <row r="213" spans="1:20" ht="12.75">
      <c r="A213" s="33"/>
      <c r="B213" s="33"/>
      <c r="C213" s="2">
        <v>15</v>
      </c>
      <c r="D213" s="4">
        <v>0.021429370013467643</v>
      </c>
      <c r="E213" s="4">
        <v>0.0214818018256633</v>
      </c>
      <c r="F213" s="5">
        <f t="shared" si="1"/>
        <v>49.70510792448262</v>
      </c>
      <c r="G213" s="46">
        <f>'det f 1,5"'!B27</f>
        <v>0.02193455030803235</v>
      </c>
      <c r="H213" s="33"/>
      <c r="I213" s="33"/>
      <c r="J213" s="33"/>
      <c r="K213" s="33"/>
      <c r="L213" s="33"/>
      <c r="M213" s="33"/>
      <c r="N213" s="34"/>
      <c r="O213" s="33"/>
      <c r="P213" s="33"/>
      <c r="Q213" s="33"/>
      <c r="R213" s="33"/>
      <c r="S213" s="33"/>
      <c r="T213" s="33"/>
    </row>
    <row r="214" spans="1:20" ht="12.75">
      <c r="A214" s="33"/>
      <c r="B214" s="33"/>
      <c r="C214" s="2">
        <v>20</v>
      </c>
      <c r="D214" s="4">
        <v>0.02064282106790929</v>
      </c>
      <c r="E214" s="4">
        <v>0.020952954985307724</v>
      </c>
      <c r="F214" s="5">
        <f t="shared" si="1"/>
        <v>56.834047490360454</v>
      </c>
      <c r="G214" s="46">
        <f>'det f 1,5"'!B28</f>
        <v>0.021546895153865975</v>
      </c>
      <c r="H214" s="33"/>
      <c r="I214" s="33"/>
      <c r="J214" s="33"/>
      <c r="K214" s="33"/>
      <c r="L214" s="33"/>
      <c r="M214" s="33"/>
      <c r="N214" s="34"/>
      <c r="O214" s="33"/>
      <c r="P214" s="33"/>
      <c r="Q214" s="33"/>
      <c r="R214" s="33"/>
      <c r="S214" s="33"/>
      <c r="T214" s="33"/>
    </row>
    <row r="215" spans="1:20" ht="12.75">
      <c r="A215" s="33"/>
      <c r="B215" s="33"/>
      <c r="C215" s="2">
        <v>22</v>
      </c>
      <c r="D215" s="4">
        <v>0.020410495329398228</v>
      </c>
      <c r="E215" s="4">
        <v>0.020800784725694316</v>
      </c>
      <c r="F215" s="5">
        <f t="shared" si="1"/>
        <v>60.2230670213395</v>
      </c>
      <c r="G215" s="46">
        <f>'det f 1,5"'!B29</f>
        <v>0.021437071267965745</v>
      </c>
      <c r="H215" s="33"/>
      <c r="I215" s="33"/>
      <c r="J215" s="33"/>
      <c r="K215" s="33"/>
      <c r="L215" s="33"/>
      <c r="M215" s="33"/>
      <c r="N215" s="34"/>
      <c r="O215" s="33"/>
      <c r="P215" s="33"/>
      <c r="Q215" s="33"/>
      <c r="R215" s="33"/>
      <c r="S215" s="33"/>
      <c r="T215" s="33"/>
    </row>
    <row r="216" spans="1:20" ht="12.75">
      <c r="A216" s="33"/>
      <c r="B216" s="33"/>
      <c r="C216" s="2">
        <v>24</v>
      </c>
      <c r="D216" s="4">
        <v>0.020210009743860453</v>
      </c>
      <c r="E216" s="4">
        <v>0.020671071738786347</v>
      </c>
      <c r="F216" s="5">
        <f t="shared" si="1"/>
        <v>63.91883878519243</v>
      </c>
      <c r="G216" s="46">
        <f>'det f 1,5"'!B30</f>
        <v>0.02134409884918906</v>
      </c>
      <c r="H216" s="33"/>
      <c r="I216" s="33"/>
      <c r="J216" s="33"/>
      <c r="K216" s="33"/>
      <c r="L216" s="33"/>
      <c r="M216" s="33"/>
      <c r="N216" s="34"/>
      <c r="O216" s="33"/>
      <c r="P216" s="33"/>
      <c r="Q216" s="33"/>
      <c r="R216" s="33"/>
      <c r="S216" s="33"/>
      <c r="T216" s="33"/>
    </row>
    <row r="217" spans="1:20" ht="12.75">
      <c r="A217" s="33"/>
      <c r="B217" s="33"/>
      <c r="C217" s="2">
        <v>26</v>
      </c>
      <c r="D217" s="4">
        <v>0.0201</v>
      </c>
      <c r="E217" s="4">
        <v>0.020559135700927433</v>
      </c>
      <c r="F217" s="5">
        <f t="shared" si="1"/>
        <v>67.92245464357748</v>
      </c>
      <c r="G217" s="46">
        <f>'det f 1,5"'!B31</f>
        <v>0.021264358202109306</v>
      </c>
      <c r="H217" s="33"/>
      <c r="I217" s="33"/>
      <c r="J217" s="33"/>
      <c r="K217" s="33"/>
      <c r="L217" s="33"/>
      <c r="M217" s="33"/>
      <c r="N217" s="34"/>
      <c r="O217" s="33"/>
      <c r="P217" s="33"/>
      <c r="Q217" s="33"/>
      <c r="R217" s="33"/>
      <c r="S217" s="33"/>
      <c r="T217" s="33"/>
    </row>
    <row r="218" spans="1:20" ht="12.75">
      <c r="A218" s="33"/>
      <c r="B218" s="33"/>
      <c r="C218" s="2">
        <v>28</v>
      </c>
      <c r="D218" s="4">
        <v>0.019880901758847786</v>
      </c>
      <c r="E218" s="4">
        <v>0.02046152280588002</v>
      </c>
      <c r="F218" s="5">
        <f t="shared" si="1"/>
        <v>72.2300297627774</v>
      </c>
      <c r="G218" s="46">
        <f>'det f 1,5"'!B32</f>
        <v>0.021195200886956263</v>
      </c>
      <c r="H218" s="33"/>
      <c r="I218" s="33"/>
      <c r="J218" s="33"/>
      <c r="K218" s="33"/>
      <c r="L218" s="33"/>
      <c r="M218" s="33"/>
      <c r="N218" s="34"/>
      <c r="O218" s="33"/>
      <c r="P218" s="33"/>
      <c r="Q218" s="33"/>
      <c r="R218" s="33"/>
      <c r="S218" s="33"/>
      <c r="T218" s="33"/>
    </row>
    <row r="219" spans="1:20" ht="12.75">
      <c r="A219" s="33"/>
      <c r="B219" s="33"/>
      <c r="C219" s="2">
        <v>30</v>
      </c>
      <c r="D219" s="4">
        <v>0.019743966593776214</v>
      </c>
      <c r="E219" s="4">
        <v>0.020375626138870166</v>
      </c>
      <c r="F219" s="5">
        <f t="shared" si="1"/>
        <v>76.84522433937218</v>
      </c>
      <c r="G219" s="46">
        <f>'det f 1,5"'!B33</f>
        <v>0.021134643433782303</v>
      </c>
      <c r="H219" s="33"/>
      <c r="I219" s="33"/>
      <c r="J219" s="33"/>
      <c r="K219" s="33"/>
      <c r="L219" s="33"/>
      <c r="M219" s="33"/>
      <c r="N219" s="34"/>
      <c r="O219" s="33"/>
      <c r="P219" s="33"/>
      <c r="Q219" s="33"/>
      <c r="R219" s="33"/>
      <c r="S219" s="33"/>
      <c r="T219" s="33"/>
    </row>
    <row r="220" spans="1:20" ht="12.75">
      <c r="A220" s="78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34"/>
      <c r="O220" s="33"/>
      <c r="P220" s="33"/>
      <c r="Q220" s="33"/>
      <c r="R220" s="33"/>
      <c r="S220" s="33"/>
      <c r="T220" s="33"/>
    </row>
    <row r="221" spans="1:20" ht="12.75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34"/>
      <c r="O221" s="33"/>
      <c r="P221" s="33"/>
      <c r="Q221" s="33"/>
      <c r="R221" s="33"/>
      <c r="S221" s="33"/>
      <c r="T221" s="33"/>
    </row>
    <row r="222" spans="1:20" ht="12.75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34"/>
      <c r="O222" s="33"/>
      <c r="P222" s="33"/>
      <c r="Q222" s="33"/>
      <c r="R222" s="33"/>
      <c r="S222" s="33"/>
      <c r="T222" s="33"/>
    </row>
    <row r="223" spans="1:20" ht="12.75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34"/>
      <c r="O223" s="33"/>
      <c r="P223" s="33"/>
      <c r="Q223" s="33"/>
      <c r="R223" s="33"/>
      <c r="S223" s="33"/>
      <c r="T223" s="33"/>
    </row>
    <row r="224" spans="1:20" ht="12.75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34"/>
      <c r="O224" s="33"/>
      <c r="P224" s="33"/>
      <c r="Q224" s="33"/>
      <c r="R224" s="33"/>
      <c r="S224" s="33"/>
      <c r="T224" s="33"/>
    </row>
    <row r="225" spans="1:20" ht="12.75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34"/>
      <c r="O225" s="33"/>
      <c r="P225" s="33"/>
      <c r="Q225" s="33"/>
      <c r="R225" s="33"/>
      <c r="S225" s="33"/>
      <c r="T225" s="33"/>
    </row>
    <row r="226" spans="1:20" ht="12.75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34"/>
      <c r="O226" s="33"/>
      <c r="P226" s="33"/>
      <c r="Q226" s="33"/>
      <c r="R226" s="33"/>
      <c r="S226" s="33"/>
      <c r="T226" s="33"/>
    </row>
    <row r="227" spans="1:20" ht="12.75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34"/>
      <c r="O227" s="33"/>
      <c r="P227" s="33"/>
      <c r="Q227" s="33"/>
      <c r="R227" s="33"/>
      <c r="S227" s="33"/>
      <c r="T227" s="33"/>
    </row>
    <row r="228" spans="1:20" ht="12.75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34"/>
      <c r="O228" s="33"/>
      <c r="P228" s="33"/>
      <c r="Q228" s="33"/>
      <c r="R228" s="33"/>
      <c r="S228" s="33"/>
      <c r="T228" s="33"/>
    </row>
    <row r="229" spans="1:20" ht="12.75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34"/>
      <c r="O229" s="33"/>
      <c r="P229" s="33"/>
      <c r="Q229" s="33"/>
      <c r="R229" s="33"/>
      <c r="S229" s="33"/>
      <c r="T229" s="33"/>
    </row>
    <row r="230" spans="1:20" ht="12.75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34"/>
      <c r="O230" s="33"/>
      <c r="P230" s="33"/>
      <c r="Q230" s="33"/>
      <c r="R230" s="33"/>
      <c r="S230" s="33"/>
      <c r="T230" s="33"/>
    </row>
    <row r="231" spans="1:20" ht="12.75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34"/>
      <c r="O231" s="33"/>
      <c r="P231" s="33"/>
      <c r="Q231" s="33"/>
      <c r="R231" s="33"/>
      <c r="S231" s="33"/>
      <c r="T231" s="33"/>
    </row>
    <row r="232" spans="1:20" ht="12.75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34"/>
      <c r="O232" s="33"/>
      <c r="P232" s="33"/>
      <c r="Q232" s="33"/>
      <c r="R232" s="33"/>
      <c r="S232" s="33"/>
      <c r="T232" s="33"/>
    </row>
    <row r="233" spans="1:20" ht="12.75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34"/>
      <c r="O233" s="33"/>
      <c r="P233" s="33"/>
      <c r="Q233" s="33"/>
      <c r="R233" s="33"/>
      <c r="S233" s="33"/>
      <c r="T233" s="33"/>
    </row>
    <row r="234" spans="1:20" ht="12.75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34"/>
      <c r="O234" s="33"/>
      <c r="P234" s="33"/>
      <c r="Q234" s="33"/>
      <c r="R234" s="33"/>
      <c r="S234" s="33"/>
      <c r="T234" s="33"/>
    </row>
    <row r="235" spans="1:20" ht="12.75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34"/>
      <c r="O235" s="33"/>
      <c r="P235" s="33"/>
      <c r="Q235" s="33"/>
      <c r="R235" s="33"/>
      <c r="S235" s="33"/>
      <c r="T235" s="33"/>
    </row>
    <row r="236" spans="1:20" ht="12.75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34"/>
      <c r="O236" s="33"/>
      <c r="P236" s="33"/>
      <c r="Q236" s="33"/>
      <c r="R236" s="33"/>
      <c r="S236" s="33"/>
      <c r="T236" s="33"/>
    </row>
    <row r="237" spans="1:20" ht="12.75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34"/>
      <c r="O237" s="33"/>
      <c r="P237" s="33"/>
      <c r="Q237" s="33"/>
      <c r="R237" s="33"/>
      <c r="S237" s="33"/>
      <c r="T237" s="33"/>
    </row>
    <row r="238" spans="1:20" ht="12.75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34"/>
      <c r="O238" s="33"/>
      <c r="P238" s="33"/>
      <c r="Q238" s="33"/>
      <c r="R238" s="33"/>
      <c r="S238" s="33"/>
      <c r="T238" s="33"/>
    </row>
    <row r="239" spans="1:20" ht="12.75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34"/>
      <c r="O239" s="33"/>
      <c r="P239" s="33"/>
      <c r="Q239" s="33"/>
      <c r="R239" s="33"/>
      <c r="S239" s="33"/>
      <c r="T239" s="33"/>
    </row>
    <row r="240" spans="1:20" ht="12.75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34"/>
      <c r="O240" s="33"/>
      <c r="P240" s="33"/>
      <c r="Q240" s="33"/>
      <c r="R240" s="33"/>
      <c r="S240" s="33"/>
      <c r="T240" s="33"/>
    </row>
    <row r="241" spans="1:20" ht="12.75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34"/>
      <c r="O241" s="33"/>
      <c r="P241" s="33"/>
      <c r="Q241" s="33"/>
      <c r="R241" s="33"/>
      <c r="S241" s="33"/>
      <c r="T241" s="33"/>
    </row>
    <row r="242" spans="1:20" ht="12.75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34"/>
      <c r="O242" s="33"/>
      <c r="P242" s="33"/>
      <c r="Q242" s="33"/>
      <c r="R242" s="33"/>
      <c r="S242" s="33"/>
      <c r="T242" s="33"/>
    </row>
    <row r="243" spans="1:20" ht="12.75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34"/>
      <c r="O243" s="33"/>
      <c r="P243" s="33"/>
      <c r="Q243" s="33"/>
      <c r="R243" s="33"/>
      <c r="S243" s="33"/>
      <c r="T243" s="33"/>
    </row>
    <row r="244" spans="1:20" ht="12.75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34"/>
      <c r="O244" s="33"/>
      <c r="P244" s="33"/>
      <c r="Q244" s="33"/>
      <c r="R244" s="33"/>
      <c r="S244" s="33"/>
      <c r="T244" s="33"/>
    </row>
    <row r="245" spans="1:20" ht="12.75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34"/>
      <c r="O245" s="33"/>
      <c r="P245" s="33"/>
      <c r="Q245" s="33"/>
      <c r="R245" s="33"/>
      <c r="S245" s="33"/>
      <c r="T245" s="33"/>
    </row>
    <row r="246" spans="1:20" ht="12.75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34"/>
      <c r="O246" s="33"/>
      <c r="P246" s="33"/>
      <c r="Q246" s="33"/>
      <c r="R246" s="33"/>
      <c r="S246" s="33"/>
      <c r="T246" s="33"/>
    </row>
    <row r="247" spans="1:20" ht="12.75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34"/>
      <c r="O247" s="33"/>
      <c r="P247" s="33"/>
      <c r="Q247" s="33"/>
      <c r="R247" s="33"/>
      <c r="S247" s="33"/>
      <c r="T247" s="33"/>
    </row>
    <row r="248" spans="1:20" ht="12.75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34"/>
      <c r="O248" s="33"/>
      <c r="P248" s="33"/>
      <c r="Q248" s="33"/>
      <c r="R248" s="33"/>
      <c r="S248" s="33"/>
      <c r="T248" s="33"/>
    </row>
    <row r="249" spans="1:20" ht="12.75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34"/>
      <c r="O249" s="33"/>
      <c r="P249" s="33"/>
      <c r="Q249" s="33"/>
      <c r="R249" s="33"/>
      <c r="S249" s="33"/>
      <c r="T249" s="33"/>
    </row>
    <row r="250" spans="1:20" ht="12.75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34"/>
      <c r="O250" s="33"/>
      <c r="P250" s="33"/>
      <c r="Q250" s="33"/>
      <c r="R250" s="33"/>
      <c r="S250" s="33"/>
      <c r="T250" s="33"/>
    </row>
    <row r="251" spans="1:20" ht="12.75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34"/>
      <c r="O251" s="33"/>
      <c r="P251" s="33"/>
      <c r="Q251" s="33"/>
      <c r="R251" s="33"/>
      <c r="S251" s="33"/>
      <c r="T251" s="33"/>
    </row>
    <row r="252" spans="1:20" ht="12.75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34"/>
      <c r="O252" s="33"/>
      <c r="P252" s="33"/>
      <c r="Q252" s="33"/>
      <c r="R252" s="33"/>
      <c r="S252" s="33"/>
      <c r="T252" s="33"/>
    </row>
    <row r="253" spans="1:20" ht="12.7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4"/>
      <c r="O253" s="33"/>
      <c r="P253" s="33"/>
      <c r="Q253" s="33"/>
      <c r="R253" s="33"/>
      <c r="S253" s="33"/>
      <c r="T253" s="33"/>
    </row>
    <row r="254" spans="1:20" ht="12.75">
      <c r="A254" s="33"/>
      <c r="B254" s="77" t="s">
        <v>150</v>
      </c>
      <c r="C254" s="77"/>
      <c r="D254" s="34"/>
      <c r="E254" s="34"/>
      <c r="F254" s="34"/>
      <c r="G254" s="33"/>
      <c r="H254" s="33"/>
      <c r="I254" s="33"/>
      <c r="J254" s="34"/>
      <c r="K254" s="33"/>
      <c r="L254" s="33"/>
      <c r="M254" s="33"/>
      <c r="N254" s="34"/>
      <c r="O254" s="33"/>
      <c r="P254" s="33"/>
      <c r="Q254" s="33"/>
      <c r="R254" s="33"/>
      <c r="S254" s="33"/>
      <c r="T254" s="33"/>
    </row>
    <row r="255" spans="1:20" ht="12.75">
      <c r="A255" s="33"/>
      <c r="B255" s="34"/>
      <c r="C255" s="34"/>
      <c r="D255" s="34"/>
      <c r="E255" s="34"/>
      <c r="F255" s="1" t="s">
        <v>181</v>
      </c>
      <c r="G255" s="5">
        <v>24.2</v>
      </c>
      <c r="H255" s="1" t="s">
        <v>60</v>
      </c>
      <c r="I255" s="1" t="s">
        <v>61</v>
      </c>
      <c r="J255" s="5">
        <f>G255/3.6</f>
        <v>6.722222222222221</v>
      </c>
      <c r="K255" s="1" t="s">
        <v>62</v>
      </c>
      <c r="L255" s="33"/>
      <c r="M255" s="33"/>
      <c r="N255" s="34"/>
      <c r="O255" s="33"/>
      <c r="P255" s="33"/>
      <c r="Q255" s="33"/>
      <c r="R255" s="33"/>
      <c r="S255" s="33"/>
      <c r="T255" s="33"/>
    </row>
    <row r="256" spans="1:20" ht="12.75">
      <c r="A256" s="33"/>
      <c r="B256" s="34"/>
      <c r="C256" s="34"/>
      <c r="D256" s="34"/>
      <c r="E256" s="34"/>
      <c r="F256" s="34"/>
      <c r="G256" s="33"/>
      <c r="H256" s="33"/>
      <c r="I256" s="33"/>
      <c r="J256" s="34"/>
      <c r="K256" s="33"/>
      <c r="L256" s="33"/>
      <c r="M256" s="33"/>
      <c r="N256" s="34"/>
      <c r="O256" s="33"/>
      <c r="P256" s="33"/>
      <c r="Q256" s="33"/>
      <c r="R256" s="33"/>
      <c r="S256" s="33"/>
      <c r="T256" s="33"/>
    </row>
    <row r="257" spans="1:20" ht="12.75">
      <c r="A257" s="33"/>
      <c r="B257" s="34"/>
      <c r="C257" s="34"/>
      <c r="D257" s="34"/>
      <c r="E257" s="34"/>
      <c r="F257" s="34"/>
      <c r="G257" s="33"/>
      <c r="H257" s="33"/>
      <c r="I257" s="33"/>
      <c r="J257" s="34"/>
      <c r="K257" s="33"/>
      <c r="L257" s="33"/>
      <c r="M257" s="33"/>
      <c r="N257" s="34"/>
      <c r="O257" s="33"/>
      <c r="P257" s="33"/>
      <c r="Q257" s="33"/>
      <c r="R257" s="33"/>
      <c r="S257" s="33"/>
      <c r="T257" s="33"/>
    </row>
    <row r="258" spans="1:20" ht="12.75">
      <c r="A258" s="33"/>
      <c r="B258" s="34"/>
      <c r="C258" s="34"/>
      <c r="D258" s="34"/>
      <c r="E258" s="34"/>
      <c r="F258" s="77" t="s">
        <v>265</v>
      </c>
      <c r="G258" s="77"/>
      <c r="H258" s="77"/>
      <c r="I258" s="77"/>
      <c r="J258" s="77"/>
      <c r="K258" s="77"/>
      <c r="L258" s="33"/>
      <c r="M258" s="33"/>
      <c r="N258" s="34"/>
      <c r="O258" s="33"/>
      <c r="P258" s="33"/>
      <c r="Q258" s="33"/>
      <c r="R258" s="33"/>
      <c r="S258" s="33"/>
      <c r="T258" s="33"/>
    </row>
    <row r="259" spans="1:20" ht="12.75">
      <c r="A259" s="33"/>
      <c r="B259" s="34"/>
      <c r="C259" s="34"/>
      <c r="D259" s="34"/>
      <c r="E259" s="34"/>
      <c r="F259" s="34"/>
      <c r="G259" s="33"/>
      <c r="H259" s="33"/>
      <c r="I259" s="33"/>
      <c r="J259" s="34"/>
      <c r="K259" s="33"/>
      <c r="L259" s="33"/>
      <c r="M259" s="33"/>
      <c r="N259" s="34"/>
      <c r="O259" s="33"/>
      <c r="P259" s="33"/>
      <c r="Q259" s="33"/>
      <c r="R259" s="33"/>
      <c r="S259" s="33"/>
      <c r="T259" s="33"/>
    </row>
    <row r="260" spans="1:20" ht="15.75">
      <c r="A260" s="33"/>
      <c r="B260" s="34"/>
      <c r="C260" s="34"/>
      <c r="D260" s="34"/>
      <c r="E260" s="34"/>
      <c r="F260" s="42" t="s">
        <v>187</v>
      </c>
      <c r="G260" s="44">
        <f>D182*G255^2+F182*G255+H182</f>
        <v>63.521344</v>
      </c>
      <c r="H260" s="1" t="s">
        <v>8</v>
      </c>
      <c r="J260" s="45" t="s">
        <v>151</v>
      </c>
      <c r="K260" s="5">
        <f>-0.0811*G255^2+3.9072*G255+15.736</f>
        <v>62.79483599999999</v>
      </c>
      <c r="L260" s="1" t="s">
        <v>152</v>
      </c>
      <c r="M260" s="33"/>
      <c r="N260" s="34"/>
      <c r="O260" s="33"/>
      <c r="P260" s="33"/>
      <c r="Q260" s="33"/>
      <c r="R260" s="33"/>
      <c r="S260" s="33"/>
      <c r="T260" s="33"/>
    </row>
    <row r="261" spans="1:20" ht="12.7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4"/>
      <c r="O261" s="33"/>
      <c r="P261" s="33"/>
      <c r="Q261" s="33"/>
      <c r="R261" s="33"/>
      <c r="S261" s="33"/>
      <c r="T261" s="33"/>
    </row>
    <row r="262" spans="1:20" ht="12.75">
      <c r="A262" s="33"/>
      <c r="B262" s="33"/>
      <c r="C262" s="33"/>
      <c r="D262" s="33"/>
      <c r="E262" s="33"/>
      <c r="F262" s="77" t="s">
        <v>183</v>
      </c>
      <c r="G262" s="77"/>
      <c r="H262" s="77"/>
      <c r="I262" s="77"/>
      <c r="J262" s="77"/>
      <c r="K262" s="33"/>
      <c r="L262" s="33"/>
      <c r="M262" s="33"/>
      <c r="N262" s="34"/>
      <c r="O262" s="33"/>
      <c r="P262" s="33"/>
      <c r="Q262" s="33"/>
      <c r="R262" s="33"/>
      <c r="S262" s="33"/>
      <c r="T262" s="33"/>
    </row>
    <row r="263" spans="1:20" ht="15">
      <c r="A263" s="33"/>
      <c r="B263" s="33"/>
      <c r="C263" s="33"/>
      <c r="D263" s="33"/>
      <c r="E263" s="33"/>
      <c r="F263" s="33"/>
      <c r="G263" s="33"/>
      <c r="H263" s="42" t="s">
        <v>153</v>
      </c>
      <c r="I263" s="5">
        <f>(C36*C39*(G255/3600)*(G260/2))/(K260/100)</f>
        <v>3322.0017082497407</v>
      </c>
      <c r="J263" s="1" t="s">
        <v>154</v>
      </c>
      <c r="K263" s="1" t="s">
        <v>61</v>
      </c>
      <c r="L263" s="5">
        <f>I263/(9.8*75)</f>
        <v>4.51973021530577</v>
      </c>
      <c r="M263" s="1" t="s">
        <v>155</v>
      </c>
      <c r="N263" s="34"/>
      <c r="O263" s="33"/>
      <c r="P263" s="33"/>
      <c r="Q263" s="33"/>
      <c r="R263" s="33"/>
      <c r="S263" s="33"/>
      <c r="T263" s="33"/>
    </row>
    <row r="264" spans="1:20" ht="12.7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4"/>
      <c r="O264" s="33"/>
      <c r="P264" s="33"/>
      <c r="Q264" s="33"/>
      <c r="R264" s="33"/>
      <c r="S264" s="33"/>
      <c r="T264" s="33"/>
    </row>
    <row r="265" spans="1:20" ht="12.75">
      <c r="A265" s="33"/>
      <c r="B265" s="33"/>
      <c r="C265" s="33"/>
      <c r="D265" s="33"/>
      <c r="E265" s="33"/>
      <c r="F265" s="77" t="s">
        <v>184</v>
      </c>
      <c r="G265" s="77"/>
      <c r="H265" s="77"/>
      <c r="I265" s="77"/>
      <c r="J265" s="77"/>
      <c r="K265" s="77"/>
      <c r="L265" s="77"/>
      <c r="M265" s="77"/>
      <c r="N265" s="34"/>
      <c r="O265" s="33"/>
      <c r="P265" s="33"/>
      <c r="Q265" s="33"/>
      <c r="R265" s="33"/>
      <c r="S265" s="33"/>
      <c r="T265" s="33"/>
    </row>
    <row r="266" spans="1:20" ht="12.7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4"/>
      <c r="O266" s="33"/>
      <c r="P266" s="33"/>
      <c r="Q266" s="33"/>
      <c r="R266" s="33"/>
      <c r="S266" s="33"/>
      <c r="T266" s="33"/>
    </row>
    <row r="267" spans="1:20" ht="12.75">
      <c r="A267" s="33"/>
      <c r="B267" s="33"/>
      <c r="C267" s="33"/>
      <c r="D267" s="33"/>
      <c r="E267" s="33"/>
      <c r="F267" s="77" t="s">
        <v>172</v>
      </c>
      <c r="G267" s="77"/>
      <c r="H267" s="2">
        <f>F205</f>
        <v>3528.0000000000005</v>
      </c>
      <c r="I267" s="20" t="s">
        <v>164</v>
      </c>
      <c r="J267" s="33"/>
      <c r="K267" s="33"/>
      <c r="L267" s="33"/>
      <c r="M267" s="33"/>
      <c r="N267" s="34"/>
      <c r="O267" s="33"/>
      <c r="P267" s="33"/>
      <c r="Q267" s="33"/>
      <c r="R267" s="33"/>
      <c r="S267" s="33"/>
      <c r="T267" s="33"/>
    </row>
    <row r="268" spans="1:20" ht="12.7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4"/>
      <c r="O268" s="33"/>
      <c r="P268" s="33"/>
      <c r="Q268" s="33"/>
      <c r="R268" s="33"/>
      <c r="S268" s="33"/>
      <c r="T268" s="33"/>
    </row>
    <row r="269" spans="1:20" ht="12.75">
      <c r="A269" s="33"/>
      <c r="B269" s="77" t="s">
        <v>188</v>
      </c>
      <c r="C269" s="77"/>
      <c r="D269" s="77" t="s">
        <v>189</v>
      </c>
      <c r="E269" s="77"/>
      <c r="F269" s="77"/>
      <c r="G269" s="77"/>
      <c r="H269" s="77"/>
      <c r="I269" s="77"/>
      <c r="J269" s="33"/>
      <c r="K269" s="33"/>
      <c r="L269" s="33"/>
      <c r="M269" s="33"/>
      <c r="N269" s="34"/>
      <c r="O269" s="33"/>
      <c r="P269" s="33"/>
      <c r="Q269" s="33"/>
      <c r="R269" s="33"/>
      <c r="S269" s="33"/>
      <c r="T269" s="33"/>
    </row>
    <row r="270" spans="1:20" ht="12.7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4"/>
      <c r="O270" s="33"/>
      <c r="P270" s="33"/>
      <c r="Q270" s="33"/>
      <c r="R270" s="33"/>
      <c r="S270" s="33"/>
      <c r="T270" s="33"/>
    </row>
    <row r="271" spans="1:20" ht="12.75">
      <c r="A271" s="33"/>
      <c r="B271" s="33"/>
      <c r="C271" s="33"/>
      <c r="D271" s="1" t="s">
        <v>129</v>
      </c>
      <c r="E271" s="2">
        <v>5.6</v>
      </c>
      <c r="F271" s="1" t="s">
        <v>62</v>
      </c>
      <c r="G271" s="33"/>
      <c r="H271" s="33"/>
      <c r="I271" s="33"/>
      <c r="J271" s="33"/>
      <c r="K271" s="33"/>
      <c r="L271" s="33"/>
      <c r="M271" s="33"/>
      <c r="N271" s="34"/>
      <c r="O271" s="33"/>
      <c r="P271" s="33"/>
      <c r="Q271" s="33"/>
      <c r="R271" s="33"/>
      <c r="S271" s="33"/>
      <c r="T271" s="33"/>
    </row>
    <row r="272" spans="1:20" ht="12.7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4"/>
      <c r="O272" s="33"/>
      <c r="P272" s="33"/>
      <c r="Q272" s="33"/>
      <c r="R272" s="33"/>
      <c r="S272" s="33"/>
      <c r="T272" s="33"/>
    </row>
    <row r="273" spans="1:20" ht="12.75">
      <c r="A273" s="33"/>
      <c r="B273" s="77" t="s">
        <v>190</v>
      </c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34"/>
      <c r="O273" s="33"/>
      <c r="P273" s="33"/>
      <c r="Q273" s="33"/>
      <c r="R273" s="33"/>
      <c r="S273" s="33"/>
      <c r="T273" s="33"/>
    </row>
    <row r="274" spans="1:20" ht="12.75">
      <c r="A274" s="49"/>
      <c r="B274" s="48"/>
      <c r="C274" s="48"/>
      <c r="D274" s="48"/>
      <c r="E274" s="48"/>
      <c r="F274" s="48"/>
      <c r="G274" s="48"/>
      <c r="H274" s="48"/>
      <c r="I274" s="48"/>
      <c r="J274" s="48"/>
      <c r="K274" s="33"/>
      <c r="L274" s="33"/>
      <c r="M274" s="77" t="s">
        <v>197</v>
      </c>
      <c r="N274" s="77"/>
      <c r="O274" s="77"/>
      <c r="P274" s="77"/>
      <c r="Q274" s="33"/>
      <c r="R274" s="33"/>
      <c r="S274" s="33"/>
      <c r="T274" s="33"/>
    </row>
    <row r="275" spans="1:20" ht="12.75">
      <c r="A275" s="49"/>
      <c r="B275" s="78"/>
      <c r="C275" s="78"/>
      <c r="D275" s="78"/>
      <c r="E275" s="78"/>
      <c r="F275" s="78"/>
      <c r="G275" s="78"/>
      <c r="H275" s="78"/>
      <c r="I275" s="78"/>
      <c r="J275" s="78"/>
      <c r="K275" s="77" t="s">
        <v>191</v>
      </c>
      <c r="L275" s="77"/>
      <c r="M275" s="77"/>
      <c r="N275" s="77"/>
      <c r="O275" s="77"/>
      <c r="P275" s="77"/>
      <c r="Q275" s="77"/>
      <c r="R275" s="33"/>
      <c r="S275" s="33"/>
      <c r="T275" s="33"/>
    </row>
    <row r="276" spans="1:20" ht="12.75">
      <c r="A276" s="49"/>
      <c r="B276" s="78"/>
      <c r="C276" s="78"/>
      <c r="D276" s="78"/>
      <c r="E276" s="78"/>
      <c r="F276" s="78"/>
      <c r="G276" s="78"/>
      <c r="H276" s="78"/>
      <c r="I276" s="78"/>
      <c r="J276" s="78"/>
      <c r="K276" s="33"/>
      <c r="L276" s="33"/>
      <c r="M276" s="33"/>
      <c r="N276" s="34"/>
      <c r="O276" s="33"/>
      <c r="P276" s="33"/>
      <c r="Q276" s="33"/>
      <c r="R276" s="33"/>
      <c r="S276" s="33"/>
      <c r="T276" s="33"/>
    </row>
    <row r="277" spans="1:20" ht="12.75">
      <c r="A277" s="49"/>
      <c r="B277" s="78"/>
      <c r="C277" s="78"/>
      <c r="D277" s="78"/>
      <c r="E277" s="78"/>
      <c r="F277" s="78"/>
      <c r="G277" s="78"/>
      <c r="H277" s="78"/>
      <c r="I277" s="78"/>
      <c r="J277" s="78"/>
      <c r="K277" s="33"/>
      <c r="L277" s="79"/>
      <c r="M277" s="79"/>
      <c r="N277" s="79"/>
      <c r="O277" s="79"/>
      <c r="P277" s="33"/>
      <c r="Q277" s="33"/>
      <c r="R277" s="33"/>
      <c r="S277" s="33"/>
      <c r="T277" s="33"/>
    </row>
    <row r="278" spans="1:20" ht="12.75">
      <c r="A278" s="49"/>
      <c r="B278" s="78"/>
      <c r="C278" s="78"/>
      <c r="D278" s="78"/>
      <c r="E278" s="78"/>
      <c r="F278" s="78"/>
      <c r="G278" s="78"/>
      <c r="H278" s="78"/>
      <c r="I278" s="78"/>
      <c r="J278" s="78"/>
      <c r="K278" s="33"/>
      <c r="L278" s="79"/>
      <c r="M278" s="79"/>
      <c r="N278" s="79"/>
      <c r="O278" s="79"/>
      <c r="P278" s="33"/>
      <c r="Q278" s="33"/>
      <c r="R278" s="33"/>
      <c r="S278" s="33"/>
      <c r="T278" s="33"/>
    </row>
    <row r="279" spans="1:20" ht="12.75">
      <c r="A279" s="49"/>
      <c r="B279" s="78"/>
      <c r="C279" s="78"/>
      <c r="D279" s="78"/>
      <c r="E279" s="78"/>
      <c r="F279" s="78"/>
      <c r="G279" s="78"/>
      <c r="H279" s="78"/>
      <c r="I279" s="78"/>
      <c r="J279" s="78"/>
      <c r="K279" s="33"/>
      <c r="L279" s="79"/>
      <c r="M279" s="79"/>
      <c r="N279" s="79"/>
      <c r="O279" s="79"/>
      <c r="P279" s="33"/>
      <c r="Q279" s="33"/>
      <c r="R279" s="33"/>
      <c r="S279" s="33"/>
      <c r="T279" s="33"/>
    </row>
    <row r="280" spans="1:20" ht="12.75">
      <c r="A280" s="49"/>
      <c r="B280" s="78"/>
      <c r="C280" s="78"/>
      <c r="D280" s="78"/>
      <c r="E280" s="78"/>
      <c r="F280" s="78"/>
      <c r="G280" s="78"/>
      <c r="H280" s="78"/>
      <c r="I280" s="78"/>
      <c r="J280" s="78"/>
      <c r="K280" s="33"/>
      <c r="L280" s="79"/>
      <c r="M280" s="79"/>
      <c r="N280" s="79"/>
      <c r="O280" s="79"/>
      <c r="P280" s="33"/>
      <c r="Q280" s="33"/>
      <c r="R280" s="33"/>
      <c r="S280" s="33"/>
      <c r="T280" s="33"/>
    </row>
    <row r="281" spans="1:20" ht="12.75">
      <c r="A281" s="49"/>
      <c r="B281" s="78"/>
      <c r="C281" s="78"/>
      <c r="D281" s="78"/>
      <c r="E281" s="78"/>
      <c r="F281" s="78"/>
      <c r="G281" s="78"/>
      <c r="H281" s="78"/>
      <c r="I281" s="78"/>
      <c r="J281" s="78"/>
      <c r="K281" s="33"/>
      <c r="L281" s="79"/>
      <c r="M281" s="79"/>
      <c r="N281" s="79"/>
      <c r="O281" s="79"/>
      <c r="P281" s="33"/>
      <c r="Q281" s="33"/>
      <c r="R281" s="33"/>
      <c r="S281" s="33"/>
      <c r="T281" s="33"/>
    </row>
    <row r="282" spans="1:20" ht="12.75">
      <c r="A282" s="49"/>
      <c r="B282" s="78"/>
      <c r="C282" s="78"/>
      <c r="D282" s="78"/>
      <c r="E282" s="78"/>
      <c r="F282" s="78"/>
      <c r="G282" s="78"/>
      <c r="H282" s="78"/>
      <c r="I282" s="78"/>
      <c r="J282" s="78"/>
      <c r="K282" s="33"/>
      <c r="L282" s="79"/>
      <c r="M282" s="79"/>
      <c r="N282" s="79"/>
      <c r="O282" s="79"/>
      <c r="P282" s="33"/>
      <c r="Q282" s="33"/>
      <c r="R282" s="33"/>
      <c r="S282" s="33"/>
      <c r="T282" s="33"/>
    </row>
    <row r="283" spans="1:20" ht="12.75">
      <c r="A283" s="49"/>
      <c r="B283" s="78"/>
      <c r="C283" s="78"/>
      <c r="D283" s="78"/>
      <c r="E283" s="78"/>
      <c r="F283" s="78"/>
      <c r="G283" s="78"/>
      <c r="H283" s="78"/>
      <c r="I283" s="78"/>
      <c r="J283" s="78"/>
      <c r="K283" s="33"/>
      <c r="L283" s="79"/>
      <c r="M283" s="79"/>
      <c r="N283" s="79"/>
      <c r="O283" s="79"/>
      <c r="P283" s="33"/>
      <c r="Q283" s="33"/>
      <c r="R283" s="33"/>
      <c r="S283" s="33"/>
      <c r="T283" s="33"/>
    </row>
    <row r="284" spans="1:20" ht="12.75">
      <c r="A284" s="49"/>
      <c r="B284" s="78"/>
      <c r="C284" s="78"/>
      <c r="D284" s="78"/>
      <c r="E284" s="78"/>
      <c r="F284" s="78"/>
      <c r="G284" s="78"/>
      <c r="H284" s="78"/>
      <c r="I284" s="78"/>
      <c r="J284" s="78"/>
      <c r="K284" s="33"/>
      <c r="L284" s="79"/>
      <c r="M284" s="79"/>
      <c r="N284" s="79"/>
      <c r="O284" s="79"/>
      <c r="P284" s="33"/>
      <c r="Q284" s="33"/>
      <c r="R284" s="33"/>
      <c r="S284" s="33"/>
      <c r="T284" s="33"/>
    </row>
    <row r="285" spans="1:20" ht="12.75">
      <c r="A285" s="49"/>
      <c r="B285" s="78"/>
      <c r="C285" s="78"/>
      <c r="D285" s="78"/>
      <c r="E285" s="78"/>
      <c r="F285" s="78"/>
      <c r="G285" s="78"/>
      <c r="H285" s="78"/>
      <c r="I285" s="78"/>
      <c r="J285" s="78"/>
      <c r="K285" s="33"/>
      <c r="L285" s="79"/>
      <c r="M285" s="79"/>
      <c r="N285" s="79"/>
      <c r="O285" s="79"/>
      <c r="P285" s="33"/>
      <c r="Q285" s="33"/>
      <c r="R285" s="33"/>
      <c r="S285" s="33"/>
      <c r="T285" s="33"/>
    </row>
    <row r="286" spans="1:20" ht="15">
      <c r="A286" s="49"/>
      <c r="B286" s="78"/>
      <c r="C286" s="78"/>
      <c r="D286" s="78"/>
      <c r="E286" s="78"/>
      <c r="F286" s="78"/>
      <c r="G286" s="78"/>
      <c r="H286" s="78"/>
      <c r="I286" s="78"/>
      <c r="J286" s="78"/>
      <c r="K286" s="33"/>
      <c r="L286" s="42" t="s">
        <v>192</v>
      </c>
      <c r="M286" s="5">
        <f>(3420*20.16)/25.5</f>
        <v>2703.811764705882</v>
      </c>
      <c r="N286" s="1" t="s">
        <v>193</v>
      </c>
      <c r="O286" s="33"/>
      <c r="P286" s="33"/>
      <c r="Q286" s="33"/>
      <c r="R286" s="33"/>
      <c r="S286" s="33"/>
      <c r="T286" s="33"/>
    </row>
    <row r="287" spans="1:20" ht="12.75">
      <c r="A287" s="49"/>
      <c r="B287" s="78"/>
      <c r="C287" s="78"/>
      <c r="D287" s="78"/>
      <c r="E287" s="78"/>
      <c r="F287" s="78"/>
      <c r="G287" s="78"/>
      <c r="H287" s="78"/>
      <c r="I287" s="78"/>
      <c r="J287" s="78"/>
      <c r="K287" s="33"/>
      <c r="L287" s="33"/>
      <c r="M287" s="33"/>
      <c r="N287" s="34"/>
      <c r="O287" s="33"/>
      <c r="P287" s="33"/>
      <c r="Q287" s="33"/>
      <c r="R287" s="33"/>
      <c r="S287" s="33"/>
      <c r="T287" s="33"/>
    </row>
    <row r="288" spans="1:20" ht="12.75">
      <c r="A288" s="49"/>
      <c r="B288" s="78"/>
      <c r="C288" s="78"/>
      <c r="D288" s="78"/>
      <c r="E288" s="78"/>
      <c r="F288" s="78"/>
      <c r="G288" s="78"/>
      <c r="H288" s="78"/>
      <c r="I288" s="78"/>
      <c r="J288" s="78"/>
      <c r="K288" s="33"/>
      <c r="L288" s="77" t="s">
        <v>194</v>
      </c>
      <c r="M288" s="77"/>
      <c r="N288" s="77"/>
      <c r="O288" s="77"/>
      <c r="P288" s="77"/>
      <c r="Q288" s="77"/>
      <c r="R288" s="33"/>
      <c r="S288" s="33"/>
      <c r="T288" s="33"/>
    </row>
    <row r="289" spans="1:20" ht="12.75">
      <c r="A289" s="49"/>
      <c r="B289" s="78"/>
      <c r="C289" s="78"/>
      <c r="D289" s="78"/>
      <c r="E289" s="78"/>
      <c r="F289" s="78"/>
      <c r="G289" s="78"/>
      <c r="H289" s="78"/>
      <c r="I289" s="78"/>
      <c r="J289" s="78"/>
      <c r="K289" s="33"/>
      <c r="L289" s="33"/>
      <c r="M289" s="33"/>
      <c r="N289" s="34"/>
      <c r="O289" s="33"/>
      <c r="P289" s="33"/>
      <c r="Q289" s="33"/>
      <c r="R289" s="33"/>
      <c r="S289" s="33"/>
      <c r="T289" s="33"/>
    </row>
    <row r="290" spans="1:20" ht="12.75">
      <c r="A290" s="49"/>
      <c r="B290" s="78"/>
      <c r="C290" s="78"/>
      <c r="D290" s="78"/>
      <c r="E290" s="78"/>
      <c r="F290" s="78"/>
      <c r="G290" s="78"/>
      <c r="H290" s="78"/>
      <c r="I290" s="78"/>
      <c r="J290" s="78"/>
      <c r="K290" s="33"/>
      <c r="L290" s="79"/>
      <c r="M290" s="79"/>
      <c r="N290" s="79"/>
      <c r="O290" s="79"/>
      <c r="P290" s="33"/>
      <c r="Q290" s="33"/>
      <c r="R290" s="33"/>
      <c r="S290" s="33"/>
      <c r="T290" s="33"/>
    </row>
    <row r="291" spans="1:20" ht="12.75">
      <c r="A291" s="49"/>
      <c r="B291" s="78"/>
      <c r="C291" s="78"/>
      <c r="D291" s="78"/>
      <c r="E291" s="78"/>
      <c r="F291" s="78"/>
      <c r="G291" s="78"/>
      <c r="H291" s="78"/>
      <c r="I291" s="78"/>
      <c r="J291" s="78"/>
      <c r="K291" s="33"/>
      <c r="L291" s="79"/>
      <c r="M291" s="79"/>
      <c r="N291" s="79"/>
      <c r="O291" s="79"/>
      <c r="P291" s="33"/>
      <c r="Q291" s="33"/>
      <c r="R291" s="33"/>
      <c r="S291" s="33"/>
      <c r="T291" s="33"/>
    </row>
    <row r="292" spans="1:20" ht="12.75">
      <c r="A292" s="49"/>
      <c r="B292" s="78"/>
      <c r="C292" s="78"/>
      <c r="D292" s="78"/>
      <c r="E292" s="78"/>
      <c r="F292" s="78"/>
      <c r="G292" s="78"/>
      <c r="H292" s="78"/>
      <c r="I292" s="78"/>
      <c r="J292" s="78"/>
      <c r="K292" s="33"/>
      <c r="L292" s="79"/>
      <c r="M292" s="79"/>
      <c r="N292" s="79"/>
      <c r="O292" s="79"/>
      <c r="P292" s="33"/>
      <c r="Q292" s="33"/>
      <c r="R292" s="33"/>
      <c r="S292" s="33"/>
      <c r="T292" s="33"/>
    </row>
    <row r="293" spans="1:20" ht="12.75">
      <c r="A293" s="49"/>
      <c r="B293" s="78"/>
      <c r="C293" s="78"/>
      <c r="D293" s="78"/>
      <c r="E293" s="78"/>
      <c r="F293" s="78"/>
      <c r="G293" s="78"/>
      <c r="H293" s="78"/>
      <c r="I293" s="78"/>
      <c r="J293" s="78"/>
      <c r="K293" s="33"/>
      <c r="L293" s="79"/>
      <c r="M293" s="79"/>
      <c r="N293" s="79"/>
      <c r="O293" s="79"/>
      <c r="P293" s="33"/>
      <c r="Q293" s="33"/>
      <c r="R293" s="33"/>
      <c r="S293" s="33"/>
      <c r="T293" s="33"/>
    </row>
    <row r="294" spans="1:20" ht="12.75">
      <c r="A294" s="49"/>
      <c r="B294" s="78"/>
      <c r="C294" s="78"/>
      <c r="D294" s="78"/>
      <c r="E294" s="78"/>
      <c r="F294" s="78"/>
      <c r="G294" s="78"/>
      <c r="H294" s="78"/>
      <c r="I294" s="78"/>
      <c r="J294" s="78"/>
      <c r="K294" s="33"/>
      <c r="L294" s="79"/>
      <c r="M294" s="79"/>
      <c r="N294" s="79"/>
      <c r="O294" s="79"/>
      <c r="P294" s="33"/>
      <c r="Q294" s="33"/>
      <c r="R294" s="33"/>
      <c r="S294" s="33"/>
      <c r="T294" s="33"/>
    </row>
    <row r="295" spans="1:20" ht="12.75">
      <c r="A295" s="49"/>
      <c r="B295" s="78"/>
      <c r="C295" s="78"/>
      <c r="D295" s="78"/>
      <c r="E295" s="78"/>
      <c r="F295" s="78"/>
      <c r="G295" s="78"/>
      <c r="H295" s="78"/>
      <c r="I295" s="78"/>
      <c r="J295" s="78"/>
      <c r="K295" s="33"/>
      <c r="L295" s="33"/>
      <c r="M295" s="33"/>
      <c r="N295" s="34"/>
      <c r="O295" s="33"/>
      <c r="P295" s="33"/>
      <c r="Q295" s="33"/>
      <c r="R295" s="33"/>
      <c r="S295" s="33"/>
      <c r="T295" s="33"/>
    </row>
    <row r="296" spans="1:20" ht="12.75">
      <c r="A296" s="49"/>
      <c r="B296" s="78"/>
      <c r="C296" s="78"/>
      <c r="D296" s="78"/>
      <c r="E296" s="78"/>
      <c r="F296" s="78"/>
      <c r="G296" s="78"/>
      <c r="H296" s="78"/>
      <c r="I296" s="78"/>
      <c r="J296" s="78"/>
      <c r="K296" s="33"/>
      <c r="L296" s="1" t="s">
        <v>195</v>
      </c>
      <c r="M296" s="44">
        <f>M286*2/120</f>
        <v>45.0635294117647</v>
      </c>
      <c r="N296" s="1" t="s">
        <v>196</v>
      </c>
      <c r="O296" s="33"/>
      <c r="P296" s="33"/>
      <c r="Q296" s="33"/>
      <c r="R296" s="33"/>
      <c r="S296" s="33"/>
      <c r="T296" s="33"/>
    </row>
    <row r="297" spans="1:20" ht="12.7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4"/>
      <c r="O297" s="33"/>
      <c r="P297" s="33"/>
      <c r="Q297" s="33"/>
      <c r="R297" s="33"/>
      <c r="S297" s="33"/>
      <c r="T297" s="33"/>
    </row>
    <row r="298" spans="1:20" ht="12.75">
      <c r="A298" s="33"/>
      <c r="B298" s="77" t="s">
        <v>198</v>
      </c>
      <c r="C298" s="77"/>
      <c r="D298" s="77"/>
      <c r="E298" s="77"/>
      <c r="F298" s="77"/>
      <c r="G298" s="77"/>
      <c r="H298" s="77"/>
      <c r="I298" s="77"/>
      <c r="J298" s="77"/>
      <c r="K298" s="33"/>
      <c r="L298" s="33"/>
      <c r="M298" s="33"/>
      <c r="N298" s="34"/>
      <c r="O298" s="33"/>
      <c r="P298" s="33"/>
      <c r="Q298" s="33"/>
      <c r="R298" s="33"/>
      <c r="S298" s="33"/>
      <c r="T298" s="33"/>
    </row>
    <row r="299" spans="1:20" ht="12.7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4"/>
      <c r="O299" s="33"/>
      <c r="P299" s="33"/>
      <c r="Q299" s="33"/>
      <c r="R299" s="33"/>
      <c r="S299" s="33"/>
      <c r="T299" s="33"/>
    </row>
    <row r="300" spans="1:20" ht="15.75">
      <c r="A300" s="33"/>
      <c r="B300" s="33"/>
      <c r="C300" s="42" t="s">
        <v>147</v>
      </c>
      <c r="D300" s="5">
        <f>E134*(E271*3.6)^2+G134*(E271*3.6)+I134</f>
        <v>33.66768128</v>
      </c>
      <c r="E300" s="1" t="s">
        <v>8</v>
      </c>
      <c r="F300" s="33"/>
      <c r="G300" s="45" t="s">
        <v>151</v>
      </c>
      <c r="H300" s="5">
        <f>-0.0811*(E271*3.6)^2+3.9072*(E271*3.6)+15.736</f>
        <v>61.54403584000001</v>
      </c>
      <c r="I300" s="1" t="s">
        <v>152</v>
      </c>
      <c r="J300" s="33"/>
      <c r="K300" s="33"/>
      <c r="L300" s="33"/>
      <c r="M300" s="33"/>
      <c r="N300" s="34"/>
      <c r="O300" s="33"/>
      <c r="P300" s="33"/>
      <c r="Q300" s="33"/>
      <c r="R300" s="33"/>
      <c r="S300" s="33"/>
      <c r="T300" s="33"/>
    </row>
    <row r="301" spans="1:20" ht="12.7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4"/>
      <c r="O301" s="33"/>
      <c r="P301" s="33"/>
      <c r="Q301" s="33"/>
      <c r="R301" s="33"/>
      <c r="S301" s="33"/>
      <c r="T301" s="33"/>
    </row>
    <row r="302" spans="1:20" ht="12.75">
      <c r="A302" s="33"/>
      <c r="B302" s="33"/>
      <c r="C302" s="1" t="s">
        <v>199</v>
      </c>
      <c r="D302" s="5">
        <f>((C36*C39*E271*0.001*D300)/(H300/100))/(0.9*1000)</f>
        <v>3.3257835926522397</v>
      </c>
      <c r="E302" s="1" t="s">
        <v>200</v>
      </c>
      <c r="F302" s="33"/>
      <c r="G302" s="33"/>
      <c r="H302" s="33"/>
      <c r="I302" s="33"/>
      <c r="J302" s="33"/>
      <c r="K302" s="33"/>
      <c r="L302" s="33"/>
      <c r="M302" s="33"/>
      <c r="N302" s="34"/>
      <c r="O302" s="33"/>
      <c r="P302" s="33"/>
      <c r="Q302" s="33"/>
      <c r="R302" s="33"/>
      <c r="S302" s="33"/>
      <c r="T302" s="33"/>
    </row>
    <row r="303" spans="1:20" ht="12.75">
      <c r="A303" s="33"/>
      <c r="B303" s="77" t="s">
        <v>201</v>
      </c>
      <c r="C303" s="77"/>
      <c r="D303" s="77"/>
      <c r="E303" s="77"/>
      <c r="F303" s="77"/>
      <c r="G303" s="77"/>
      <c r="H303" s="77"/>
      <c r="I303" s="77"/>
      <c r="J303" s="77"/>
      <c r="K303" s="33"/>
      <c r="L303" s="33"/>
      <c r="M303" s="33"/>
      <c r="N303" s="34"/>
      <c r="O303" s="33"/>
      <c r="P303" s="33"/>
      <c r="Q303" s="33"/>
      <c r="R303" s="33"/>
      <c r="S303" s="33"/>
      <c r="T303" s="33"/>
    </row>
    <row r="304" spans="1:20" ht="12.7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4"/>
      <c r="O304" s="33"/>
      <c r="P304" s="33"/>
      <c r="Q304" s="33"/>
      <c r="R304" s="33"/>
      <c r="S304" s="33"/>
      <c r="T304" s="33"/>
    </row>
    <row r="305" spans="1:20" ht="15.75">
      <c r="A305" s="33"/>
      <c r="B305" s="33"/>
      <c r="C305" s="42" t="s">
        <v>141</v>
      </c>
      <c r="D305" s="5">
        <f>D78+F78*(E271/1000)^2+I78*C128*(E271/1000)^2+L78*G176*(E271/1000)^2</f>
        <v>27.57073782371071</v>
      </c>
      <c r="E305" s="1" t="s">
        <v>8</v>
      </c>
      <c r="F305" s="33"/>
      <c r="G305" s="45" t="s">
        <v>151</v>
      </c>
      <c r="H305" s="5">
        <f>-0.0811*(E271*3.6)^2+3.9072*(E271*3.6)+15.736</f>
        <v>61.54403584000001</v>
      </c>
      <c r="I305" s="1" t="s">
        <v>152</v>
      </c>
      <c r="J305" s="33"/>
      <c r="K305" s="33"/>
      <c r="L305" s="33"/>
      <c r="M305" s="33"/>
      <c r="N305" s="34"/>
      <c r="O305" s="33"/>
      <c r="P305" s="33"/>
      <c r="Q305" s="33"/>
      <c r="R305" s="33"/>
      <c r="S305" s="33"/>
      <c r="T305" s="33"/>
    </row>
    <row r="306" spans="1:20" ht="12.7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4"/>
      <c r="O306" s="33"/>
      <c r="P306" s="33"/>
      <c r="Q306" s="33"/>
      <c r="R306" s="33"/>
      <c r="S306" s="33"/>
      <c r="T306" s="33"/>
    </row>
    <row r="307" spans="1:20" ht="12.75">
      <c r="A307" s="33"/>
      <c r="B307" s="33"/>
      <c r="C307" s="1" t="s">
        <v>199</v>
      </c>
      <c r="D307" s="5">
        <f>((C36*C39*E271*0.001*D305)/(H305/100))/((E116/100)*1000)</f>
        <v>2.625390925585011</v>
      </c>
      <c r="E307" s="1" t="s">
        <v>200</v>
      </c>
      <c r="F307" s="33"/>
      <c r="G307" s="33"/>
      <c r="H307" s="33"/>
      <c r="I307" s="33"/>
      <c r="J307" s="33"/>
      <c r="K307" s="33"/>
      <c r="L307" s="33"/>
      <c r="M307" s="33"/>
      <c r="N307" s="34"/>
      <c r="O307" s="33"/>
      <c r="P307" s="33"/>
      <c r="Q307" s="33"/>
      <c r="R307" s="33"/>
      <c r="S307" s="33"/>
      <c r="T307" s="33"/>
    </row>
    <row r="308" spans="1:20" ht="12.7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4"/>
      <c r="O308" s="33"/>
      <c r="P308" s="33"/>
      <c r="Q308" s="33"/>
      <c r="R308" s="33"/>
      <c r="S308" s="33"/>
      <c r="T308" s="33"/>
    </row>
    <row r="309" spans="1:20" ht="12.75">
      <c r="A309" s="33"/>
      <c r="B309" s="77" t="s">
        <v>202</v>
      </c>
      <c r="C309" s="77"/>
      <c r="D309" s="77"/>
      <c r="E309" s="77"/>
      <c r="F309" s="33"/>
      <c r="G309" s="33"/>
      <c r="H309" s="33"/>
      <c r="I309" s="33"/>
      <c r="J309" s="33"/>
      <c r="K309" s="33"/>
      <c r="L309" s="33"/>
      <c r="M309" s="33"/>
      <c r="N309" s="34"/>
      <c r="O309" s="33"/>
      <c r="P309" s="33"/>
      <c r="Q309" s="33"/>
      <c r="R309" s="33"/>
      <c r="S309" s="33"/>
      <c r="T309" s="33"/>
    </row>
    <row r="310" spans="1:20" ht="12.7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4"/>
      <c r="O310" s="33"/>
      <c r="P310" s="33"/>
      <c r="Q310" s="33"/>
      <c r="R310" s="33"/>
      <c r="S310" s="33"/>
      <c r="T310" s="33"/>
    </row>
    <row r="311" spans="1:20" ht="12.75">
      <c r="A311" s="33"/>
      <c r="B311" s="33"/>
      <c r="C311" s="1" t="s">
        <v>203</v>
      </c>
      <c r="D311" s="5">
        <f>((D302-D307)/D302)*100</f>
        <v>21.059478091557985</v>
      </c>
      <c r="E311" s="1" t="s">
        <v>152</v>
      </c>
      <c r="F311" s="33"/>
      <c r="G311" s="33"/>
      <c r="H311" s="33"/>
      <c r="I311" s="33"/>
      <c r="J311" s="33"/>
      <c r="K311" s="33"/>
      <c r="L311" s="33"/>
      <c r="M311" s="33"/>
      <c r="N311" s="34"/>
      <c r="O311" s="33"/>
      <c r="P311" s="33"/>
      <c r="Q311" s="33"/>
      <c r="R311" s="33"/>
      <c r="S311" s="33"/>
      <c r="T311" s="33"/>
    </row>
    <row r="312" spans="1:20" ht="12.7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4"/>
      <c r="O312" s="33"/>
      <c r="P312" s="33"/>
      <c r="Q312" s="33"/>
      <c r="R312" s="33"/>
      <c r="S312" s="33"/>
      <c r="T312" s="33"/>
    </row>
    <row r="313" spans="1:20" ht="12.75">
      <c r="A313" s="33"/>
      <c r="B313" s="77" t="s">
        <v>266</v>
      </c>
      <c r="C313" s="77"/>
      <c r="D313" s="77"/>
      <c r="E313" s="77"/>
      <c r="F313" s="77"/>
      <c r="G313" s="77"/>
      <c r="H313" s="77"/>
      <c r="I313" s="77"/>
      <c r="J313" s="77"/>
      <c r="K313" s="33"/>
      <c r="L313" s="33"/>
      <c r="M313" s="33"/>
      <c r="N313" s="34"/>
      <c r="O313" s="33"/>
      <c r="P313" s="33"/>
      <c r="Q313" s="33"/>
      <c r="R313" s="33"/>
      <c r="S313" s="33"/>
      <c r="T313" s="33"/>
    </row>
    <row r="314" spans="1:20" ht="12.7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4"/>
      <c r="O314" s="33"/>
      <c r="P314" s="33"/>
      <c r="Q314" s="33"/>
      <c r="R314" s="33"/>
      <c r="S314" s="33"/>
      <c r="T314" s="33"/>
    </row>
    <row r="315" spans="1:20" ht="12.75">
      <c r="A315" s="33"/>
      <c r="B315" s="77" t="s">
        <v>267</v>
      </c>
      <c r="C315" s="77"/>
      <c r="D315" s="77"/>
      <c r="E315" s="77"/>
      <c r="F315" s="77"/>
      <c r="G315" s="77"/>
      <c r="H315" s="77"/>
      <c r="I315" s="77"/>
      <c r="J315" s="77"/>
      <c r="K315" s="33"/>
      <c r="L315" s="33"/>
      <c r="M315" s="33"/>
      <c r="N315" s="34"/>
      <c r="O315" s="33"/>
      <c r="P315" s="33"/>
      <c r="Q315" s="33"/>
      <c r="R315" s="33"/>
      <c r="S315" s="33"/>
      <c r="T315" s="33"/>
    </row>
    <row r="316" spans="1:20" ht="12.7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4"/>
      <c r="O316" s="33"/>
      <c r="P316" s="33"/>
      <c r="Q316" s="33"/>
      <c r="R316" s="33"/>
      <c r="S316" s="33"/>
      <c r="T316" s="33"/>
    </row>
    <row r="317" spans="1:20" ht="12.75">
      <c r="A317" s="33"/>
      <c r="B317" s="79"/>
      <c r="C317" s="79"/>
      <c r="D317" s="79"/>
      <c r="E317" s="79"/>
      <c r="F317" s="79"/>
      <c r="G317" s="79"/>
      <c r="H317" s="79"/>
      <c r="I317" s="33"/>
      <c r="J317" s="1" t="s">
        <v>206</v>
      </c>
      <c r="K317" s="2">
        <v>3166.4</v>
      </c>
      <c r="L317" s="1" t="s">
        <v>103</v>
      </c>
      <c r="M317" s="33"/>
      <c r="N317" s="34"/>
      <c r="O317" s="33"/>
      <c r="P317" s="33"/>
      <c r="Q317" s="33"/>
      <c r="R317" s="33"/>
      <c r="S317" s="33"/>
      <c r="T317" s="33"/>
    </row>
    <row r="318" spans="1:20" ht="12.75">
      <c r="A318" s="33"/>
      <c r="B318" s="79"/>
      <c r="C318" s="79"/>
      <c r="D318" s="79"/>
      <c r="E318" s="79"/>
      <c r="F318" s="79"/>
      <c r="G318" s="79"/>
      <c r="H318" s="79"/>
      <c r="I318" s="33"/>
      <c r="J318" s="33"/>
      <c r="K318" s="33"/>
      <c r="L318" s="33"/>
      <c r="M318" s="33"/>
      <c r="N318" s="34"/>
      <c r="O318" s="33"/>
      <c r="P318" s="33"/>
      <c r="Q318" s="33"/>
      <c r="R318" s="33"/>
      <c r="S318" s="33"/>
      <c r="T318" s="33"/>
    </row>
    <row r="319" spans="1:20" ht="12.75">
      <c r="A319" s="33"/>
      <c r="B319" s="79"/>
      <c r="C319" s="79"/>
      <c r="D319" s="79"/>
      <c r="E319" s="79"/>
      <c r="F319" s="79"/>
      <c r="G319" s="79"/>
      <c r="H319" s="79"/>
      <c r="I319" s="33"/>
      <c r="J319" s="33"/>
      <c r="K319" s="33"/>
      <c r="L319" s="33"/>
      <c r="M319" s="33"/>
      <c r="N319" s="34"/>
      <c r="O319" s="33"/>
      <c r="P319" s="33"/>
      <c r="Q319" s="33"/>
      <c r="R319" s="33"/>
      <c r="S319" s="33"/>
      <c r="T319" s="33"/>
    </row>
    <row r="320" spans="1:20" ht="12.75">
      <c r="A320" s="33"/>
      <c r="B320" s="79"/>
      <c r="C320" s="79"/>
      <c r="D320" s="79"/>
      <c r="E320" s="79"/>
      <c r="F320" s="79"/>
      <c r="G320" s="79"/>
      <c r="H320" s="79"/>
      <c r="I320" s="33"/>
      <c r="J320" s="77" t="s">
        <v>205</v>
      </c>
      <c r="K320" s="77"/>
      <c r="L320" s="77"/>
      <c r="M320" s="77"/>
      <c r="N320" s="77"/>
      <c r="O320" s="33"/>
      <c r="P320" s="33"/>
      <c r="Q320" s="33"/>
      <c r="R320" s="33"/>
      <c r="S320" s="33"/>
      <c r="T320" s="33"/>
    </row>
    <row r="321" spans="1:20" ht="12.75">
      <c r="A321" s="33"/>
      <c r="B321" s="79"/>
      <c r="C321" s="79"/>
      <c r="D321" s="79"/>
      <c r="E321" s="79"/>
      <c r="F321" s="79"/>
      <c r="G321" s="79"/>
      <c r="H321" s="79"/>
      <c r="I321" s="33"/>
      <c r="J321" s="33"/>
      <c r="K321" s="33"/>
      <c r="L321" s="33"/>
      <c r="M321" s="33"/>
      <c r="N321" s="34"/>
      <c r="O321" s="33"/>
      <c r="P321" s="33"/>
      <c r="Q321" s="33"/>
      <c r="R321" s="33"/>
      <c r="S321" s="33"/>
      <c r="T321" s="33"/>
    </row>
    <row r="322" spans="1:20" ht="12.75">
      <c r="A322" s="33"/>
      <c r="B322" s="79"/>
      <c r="C322" s="79"/>
      <c r="D322" s="79"/>
      <c r="E322" s="79"/>
      <c r="F322" s="79"/>
      <c r="G322" s="79"/>
      <c r="H322" s="79"/>
      <c r="I322" s="33"/>
      <c r="J322" s="1" t="s">
        <v>204</v>
      </c>
      <c r="K322" s="5">
        <f>(C15-G15)+((G39*100000-K317)/(C36*C39))-I78*C128*(G188/3600)^2</f>
        <v>13.790786779149325</v>
      </c>
      <c r="L322" s="1" t="s">
        <v>8</v>
      </c>
      <c r="M322" s="33"/>
      <c r="N322" s="34"/>
      <c r="O322" s="33"/>
      <c r="P322" s="33"/>
      <c r="Q322" s="33"/>
      <c r="R322" s="33"/>
      <c r="S322" s="33"/>
      <c r="T322" s="33"/>
    </row>
    <row r="323" spans="1:20" ht="12.75">
      <c r="A323" s="33"/>
      <c r="B323" s="79"/>
      <c r="C323" s="79"/>
      <c r="D323" s="79"/>
      <c r="E323" s="79"/>
      <c r="F323" s="79"/>
      <c r="G323" s="79"/>
      <c r="H323" s="79"/>
      <c r="I323" s="33"/>
      <c r="J323" s="33"/>
      <c r="K323" s="33"/>
      <c r="L323" s="33"/>
      <c r="M323" s="33"/>
      <c r="N323" s="34"/>
      <c r="O323" s="33"/>
      <c r="P323" s="33"/>
      <c r="Q323" s="33"/>
      <c r="R323" s="33"/>
      <c r="S323" s="33"/>
      <c r="T323" s="33"/>
    </row>
    <row r="324" spans="1:20" ht="12.75">
      <c r="A324" s="33"/>
      <c r="B324" s="79"/>
      <c r="C324" s="79"/>
      <c r="D324" s="79"/>
      <c r="E324" s="79"/>
      <c r="F324" s="79"/>
      <c r="G324" s="79"/>
      <c r="H324" s="79"/>
      <c r="I324" s="33"/>
      <c r="J324" s="77" t="s">
        <v>208</v>
      </c>
      <c r="K324" s="77"/>
      <c r="L324" s="77"/>
      <c r="M324" s="77"/>
      <c r="N324" s="77"/>
      <c r="O324" s="77"/>
      <c r="P324" s="33"/>
      <c r="Q324" s="33"/>
      <c r="R324" s="33"/>
      <c r="S324" s="33"/>
      <c r="T324" s="33"/>
    </row>
    <row r="325" spans="1:20" ht="12.75">
      <c r="A325" s="33"/>
      <c r="B325" s="79"/>
      <c r="C325" s="79"/>
      <c r="D325" s="79"/>
      <c r="E325" s="79"/>
      <c r="F325" s="79"/>
      <c r="G325" s="79"/>
      <c r="H325" s="79"/>
      <c r="I325" s="33"/>
      <c r="J325" s="33"/>
      <c r="K325" s="33"/>
      <c r="L325" s="33"/>
      <c r="M325" s="33"/>
      <c r="N325" s="34"/>
      <c r="O325" s="33"/>
      <c r="P325" s="33"/>
      <c r="Q325" s="33"/>
      <c r="R325" s="33"/>
      <c r="S325" s="33"/>
      <c r="T325" s="33"/>
    </row>
    <row r="326" spans="1:20" ht="12.75">
      <c r="A326" s="33"/>
      <c r="B326" s="79"/>
      <c r="C326" s="79"/>
      <c r="D326" s="79"/>
      <c r="E326" s="79"/>
      <c r="F326" s="79"/>
      <c r="G326" s="79"/>
      <c r="H326" s="79"/>
      <c r="I326" s="33"/>
      <c r="J326" s="1" t="s">
        <v>204</v>
      </c>
      <c r="K326" s="5">
        <f>(C15-G15)+((G39*100000-K317)/(C36*C39))-I78*C128*(G188/3600)^2</f>
        <v>13.790786779149325</v>
      </c>
      <c r="L326" s="1" t="s">
        <v>8</v>
      </c>
      <c r="M326" s="33"/>
      <c r="N326" s="34"/>
      <c r="O326" s="33"/>
      <c r="P326" s="33"/>
      <c r="Q326" s="33"/>
      <c r="R326" s="33"/>
      <c r="S326" s="33"/>
      <c r="T326" s="33"/>
    </row>
    <row r="327" spans="1:20" ht="12.75">
      <c r="A327" s="33"/>
      <c r="B327" s="79"/>
      <c r="C327" s="79"/>
      <c r="D327" s="79"/>
      <c r="E327" s="79"/>
      <c r="F327" s="79"/>
      <c r="G327" s="79"/>
      <c r="H327" s="79"/>
      <c r="I327" s="33"/>
      <c r="J327" s="33"/>
      <c r="K327" s="33"/>
      <c r="L327" s="33"/>
      <c r="M327" s="33"/>
      <c r="N327" s="34"/>
      <c r="O327" s="33"/>
      <c r="P327" s="33"/>
      <c r="Q327" s="33"/>
      <c r="R327" s="33"/>
      <c r="S327" s="33"/>
      <c r="T327" s="33"/>
    </row>
    <row r="328" spans="1:20" ht="12.75">
      <c r="A328" s="33"/>
      <c r="B328" s="79"/>
      <c r="C328" s="79"/>
      <c r="D328" s="79"/>
      <c r="E328" s="79"/>
      <c r="F328" s="79"/>
      <c r="G328" s="79"/>
      <c r="H328" s="79"/>
      <c r="I328" s="33"/>
      <c r="J328" s="77" t="s">
        <v>207</v>
      </c>
      <c r="K328" s="77"/>
      <c r="L328" s="77"/>
      <c r="M328" s="77"/>
      <c r="N328" s="77"/>
      <c r="O328" s="77"/>
      <c r="P328" s="77"/>
      <c r="Q328" s="33"/>
      <c r="R328" s="33"/>
      <c r="S328" s="33"/>
      <c r="T328" s="33"/>
    </row>
    <row r="329" spans="1:20" ht="12.75">
      <c r="A329" s="33"/>
      <c r="B329" s="79"/>
      <c r="C329" s="79"/>
      <c r="D329" s="79"/>
      <c r="E329" s="79"/>
      <c r="F329" s="79"/>
      <c r="G329" s="79"/>
      <c r="H329" s="79"/>
      <c r="I329" s="33"/>
      <c r="J329" s="33"/>
      <c r="K329" s="33"/>
      <c r="L329" s="33"/>
      <c r="M329" s="33"/>
      <c r="N329" s="34"/>
      <c r="O329" s="33"/>
      <c r="P329" s="33"/>
      <c r="Q329" s="33"/>
      <c r="R329" s="33"/>
      <c r="S329" s="33"/>
      <c r="T329" s="33"/>
    </row>
    <row r="330" spans="1:20" ht="12.75">
      <c r="A330" s="33"/>
      <c r="B330" s="79"/>
      <c r="C330" s="79"/>
      <c r="D330" s="79"/>
      <c r="E330" s="79"/>
      <c r="F330" s="79"/>
      <c r="G330" s="79"/>
      <c r="H330" s="79"/>
      <c r="I330" s="33"/>
      <c r="J330" s="1" t="s">
        <v>204</v>
      </c>
      <c r="K330" s="5">
        <f>(C15-G15)+((G39*100000-K317)/(C36*C39))-I78*'det f 3"'!B35*('dados da B e CCIs e pto trabalh'!F66/3600)^2</f>
        <v>13.786203617328388</v>
      </c>
      <c r="L330" s="1" t="s">
        <v>8</v>
      </c>
      <c r="M330" s="33"/>
      <c r="N330" s="34"/>
      <c r="O330" s="33"/>
      <c r="P330" s="33"/>
      <c r="Q330" s="33"/>
      <c r="R330" s="33"/>
      <c r="S330" s="33"/>
      <c r="T330" s="33"/>
    </row>
    <row r="331" spans="1:20" ht="12.75">
      <c r="A331" s="33"/>
      <c r="B331" s="79"/>
      <c r="C331" s="79"/>
      <c r="D331" s="79"/>
      <c r="E331" s="79"/>
      <c r="F331" s="79"/>
      <c r="G331" s="79"/>
      <c r="H331" s="79"/>
      <c r="I331" s="33"/>
      <c r="J331" s="33"/>
      <c r="K331" s="33"/>
      <c r="L331" s="33"/>
      <c r="M331" s="33"/>
      <c r="N331" s="34"/>
      <c r="O331" s="33"/>
      <c r="P331" s="33"/>
      <c r="Q331" s="33"/>
      <c r="R331" s="33"/>
      <c r="S331" s="33"/>
      <c r="T331" s="33"/>
    </row>
    <row r="332" spans="1:20" ht="12.75">
      <c r="A332" s="33"/>
      <c r="B332" s="79"/>
      <c r="C332" s="79"/>
      <c r="D332" s="79"/>
      <c r="E332" s="79"/>
      <c r="F332" s="79"/>
      <c r="G332" s="79"/>
      <c r="H332" s="79"/>
      <c r="I332" s="33"/>
      <c r="J332" s="77" t="s">
        <v>268</v>
      </c>
      <c r="K332" s="77"/>
      <c r="L332" s="77"/>
      <c r="M332" s="77"/>
      <c r="N332" s="77"/>
      <c r="O332" s="77"/>
      <c r="P332" s="77"/>
      <c r="Q332" s="33"/>
      <c r="R332" s="33"/>
      <c r="S332" s="33"/>
      <c r="T332" s="33"/>
    </row>
    <row r="333" spans="1:20" ht="12.75">
      <c r="A333" s="33"/>
      <c r="B333" s="79"/>
      <c r="C333" s="79"/>
      <c r="D333" s="79"/>
      <c r="E333" s="79"/>
      <c r="F333" s="79"/>
      <c r="G333" s="79"/>
      <c r="H333" s="79"/>
      <c r="I333" s="33"/>
      <c r="J333" s="33"/>
      <c r="K333" s="33"/>
      <c r="L333" s="33"/>
      <c r="M333" s="33"/>
      <c r="N333" s="34"/>
      <c r="O333" s="33"/>
      <c r="P333" s="33"/>
      <c r="Q333" s="33"/>
      <c r="R333" s="33"/>
      <c r="S333" s="33"/>
      <c r="T333" s="33"/>
    </row>
    <row r="334" spans="1:20" ht="12.7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4"/>
      <c r="O334" s="33"/>
      <c r="P334" s="33"/>
      <c r="Q334" s="33"/>
      <c r="R334" s="33"/>
      <c r="S334" s="33"/>
      <c r="T334" s="33"/>
    </row>
    <row r="335" spans="1:20" ht="12.75">
      <c r="A335" s="33"/>
      <c r="B335" s="77" t="s">
        <v>209</v>
      </c>
      <c r="C335" s="77"/>
      <c r="D335" s="77"/>
      <c r="E335" s="77"/>
      <c r="F335" s="77"/>
      <c r="G335" s="77"/>
      <c r="H335" s="77"/>
      <c r="I335" s="77"/>
      <c r="J335" s="77"/>
      <c r="K335" s="33"/>
      <c r="L335" s="33"/>
      <c r="M335" s="33"/>
      <c r="N335" s="34"/>
      <c r="O335" s="33"/>
      <c r="P335" s="33"/>
      <c r="Q335" s="33"/>
      <c r="R335" s="33"/>
      <c r="S335" s="33"/>
      <c r="T335" s="33"/>
    </row>
    <row r="336" spans="1:20" ht="12.7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4"/>
      <c r="O336" s="33"/>
      <c r="P336" s="33"/>
      <c r="Q336" s="33"/>
      <c r="R336" s="33"/>
      <c r="S336" s="33"/>
      <c r="T336" s="33"/>
    </row>
    <row r="337" spans="1:20" ht="12.75">
      <c r="A337" s="33"/>
      <c r="B337" s="20" t="s">
        <v>210</v>
      </c>
      <c r="C337" s="5">
        <f>0.0212*G188^2-0.6764*G188+7.6169</f>
        <v>3.4743270829365445</v>
      </c>
      <c r="D337" s="1" t="s">
        <v>8</v>
      </c>
      <c r="E337" s="79" t="s">
        <v>61</v>
      </c>
      <c r="F337" s="79"/>
      <c r="G337" s="20" t="s">
        <v>210</v>
      </c>
      <c r="H337" s="5">
        <f>0.0212*G255^2-0.6764*G255+7.6169</f>
        <v>3.663588</v>
      </c>
      <c r="I337" s="1" t="s">
        <v>8</v>
      </c>
      <c r="J337" s="33"/>
      <c r="K337" s="33"/>
      <c r="L337" s="33"/>
      <c r="M337" s="33"/>
      <c r="N337" s="34"/>
      <c r="O337" s="33"/>
      <c r="P337" s="33"/>
      <c r="Q337" s="33"/>
      <c r="R337" s="33"/>
      <c r="S337" s="33"/>
      <c r="T337" s="33"/>
    </row>
    <row r="338" spans="1:20" ht="12.7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4"/>
      <c r="O338" s="33"/>
      <c r="P338" s="33"/>
      <c r="Q338" s="33"/>
      <c r="R338" s="33"/>
      <c r="S338" s="33"/>
      <c r="T338" s="33"/>
    </row>
    <row r="339" spans="1:20" ht="12.75">
      <c r="A339" s="33"/>
      <c r="B339" s="77" t="s">
        <v>211</v>
      </c>
      <c r="C339" s="77"/>
      <c r="D339" s="77"/>
      <c r="E339" s="77"/>
      <c r="F339" s="77"/>
      <c r="G339" s="77"/>
      <c r="H339" s="77"/>
      <c r="I339" s="77"/>
      <c r="J339" s="77"/>
      <c r="K339" s="33"/>
      <c r="L339" s="33"/>
      <c r="M339" s="33"/>
      <c r="N339" s="34"/>
      <c r="O339" s="33"/>
      <c r="P339" s="33"/>
      <c r="Q339" s="33"/>
      <c r="R339" s="33"/>
      <c r="S339" s="33"/>
      <c r="T339" s="33"/>
    </row>
    <row r="340" spans="1:20" ht="12.7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4"/>
      <c r="O340" s="33"/>
      <c r="P340" s="33"/>
      <c r="Q340" s="33"/>
      <c r="R340" s="33"/>
      <c r="S340" s="33"/>
      <c r="T340" s="33"/>
    </row>
    <row r="341" spans="1:20" ht="12.75">
      <c r="A341" s="33"/>
      <c r="B341" s="1" t="s">
        <v>212</v>
      </c>
      <c r="C341" s="5">
        <f>K326-C337</f>
        <v>10.316459696212782</v>
      </c>
      <c r="D341" s="1" t="s">
        <v>8</v>
      </c>
      <c r="E341" s="79" t="s">
        <v>61</v>
      </c>
      <c r="F341" s="79"/>
      <c r="G341" s="1" t="s">
        <v>212</v>
      </c>
      <c r="H341" s="5">
        <f>K326-H337</f>
        <v>10.127198779149325</v>
      </c>
      <c r="I341" s="1" t="s">
        <v>8</v>
      </c>
      <c r="J341" s="77" t="s">
        <v>213</v>
      </c>
      <c r="K341" s="77"/>
      <c r="L341" s="77"/>
      <c r="M341" s="77"/>
      <c r="N341" s="77"/>
      <c r="O341" s="33"/>
      <c r="P341" s="33"/>
      <c r="Q341" s="33"/>
      <c r="R341" s="33"/>
      <c r="S341" s="33"/>
      <c r="T341" s="33"/>
    </row>
    <row r="342" spans="1:20" ht="12.7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4"/>
      <c r="O342" s="33"/>
      <c r="P342" s="33"/>
      <c r="Q342" s="33"/>
      <c r="R342" s="33"/>
      <c r="S342" s="33"/>
      <c r="T342" s="33"/>
    </row>
    <row r="343" spans="1:20" ht="12.75">
      <c r="A343" s="33"/>
      <c r="B343" s="77" t="s">
        <v>269</v>
      </c>
      <c r="C343" s="77"/>
      <c r="D343" s="77"/>
      <c r="E343" s="77"/>
      <c r="F343" s="77"/>
      <c r="G343" s="77"/>
      <c r="H343" s="77"/>
      <c r="I343" s="77"/>
      <c r="J343" s="77"/>
      <c r="K343" s="33"/>
      <c r="L343" s="33"/>
      <c r="M343" s="33"/>
      <c r="N343" s="34"/>
      <c r="O343" s="33"/>
      <c r="P343" s="33"/>
      <c r="Q343" s="33"/>
      <c r="R343" s="33"/>
      <c r="S343" s="33"/>
      <c r="T343" s="33"/>
    </row>
    <row r="344" spans="1:20" ht="12.7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4"/>
      <c r="O344" s="33"/>
      <c r="P344" s="33"/>
      <c r="Q344" s="33"/>
      <c r="R344" s="33"/>
      <c r="S344" s="33"/>
      <c r="T344" s="33"/>
    </row>
    <row r="345" spans="1:20" ht="12.75">
      <c r="A345" s="1" t="s">
        <v>63</v>
      </c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4"/>
      <c r="O345" s="33"/>
      <c r="P345" s="33"/>
      <c r="Q345" s="33"/>
      <c r="R345" s="33"/>
      <c r="S345" s="33"/>
      <c r="T345" s="33"/>
    </row>
    <row r="346" spans="1:20" ht="12.75">
      <c r="A346" s="33"/>
      <c r="B346" s="77" t="s">
        <v>219</v>
      </c>
      <c r="C346" s="77"/>
      <c r="D346" s="77"/>
      <c r="E346" s="77"/>
      <c r="F346" s="77"/>
      <c r="G346" s="33"/>
      <c r="H346" s="56" t="s">
        <v>221</v>
      </c>
      <c r="I346" s="52" t="s">
        <v>222</v>
      </c>
      <c r="J346" s="33"/>
      <c r="K346" s="33"/>
      <c r="L346" s="33"/>
      <c r="M346" s="33"/>
      <c r="N346" s="34"/>
      <c r="O346" s="33"/>
      <c r="P346" s="33"/>
      <c r="Q346" s="33"/>
      <c r="R346" s="33"/>
      <c r="S346" s="33"/>
      <c r="T346" s="33"/>
    </row>
    <row r="347" spans="1:20" ht="12.75">
      <c r="A347" s="33"/>
      <c r="B347" s="33"/>
      <c r="C347" s="33"/>
      <c r="D347" s="33"/>
      <c r="E347" s="33"/>
      <c r="F347" s="33"/>
      <c r="G347" s="33"/>
      <c r="H347" s="56" t="s">
        <v>223</v>
      </c>
      <c r="I347" s="52">
        <v>23</v>
      </c>
      <c r="J347" s="33"/>
      <c r="K347" s="33"/>
      <c r="L347" s="33"/>
      <c r="M347" s="33"/>
      <c r="N347" s="34"/>
      <c r="O347" s="33"/>
      <c r="P347" s="33"/>
      <c r="Q347" s="33"/>
      <c r="R347" s="33"/>
      <c r="S347" s="33"/>
      <c r="T347" s="33"/>
    </row>
    <row r="348" spans="1:20" ht="12.75">
      <c r="A348" s="33"/>
      <c r="B348" s="77" t="s">
        <v>220</v>
      </c>
      <c r="C348" s="77"/>
      <c r="D348" s="77"/>
      <c r="E348" s="77"/>
      <c r="F348" s="77"/>
      <c r="G348" s="33"/>
      <c r="H348" s="57" t="s">
        <v>228</v>
      </c>
      <c r="I348" s="52">
        <v>0.000933</v>
      </c>
      <c r="J348" s="33"/>
      <c r="K348" s="33"/>
      <c r="L348" s="33"/>
      <c r="M348" s="33"/>
      <c r="N348" s="34"/>
      <c r="O348" s="33"/>
      <c r="P348" s="33"/>
      <c r="Q348" s="33"/>
      <c r="R348" s="33"/>
      <c r="S348" s="33"/>
      <c r="T348" s="33"/>
    </row>
    <row r="349" spans="1:20" ht="12.75">
      <c r="A349" s="33"/>
      <c r="B349" s="33"/>
      <c r="C349" s="33"/>
      <c r="D349" s="33"/>
      <c r="E349" s="33"/>
      <c r="F349" s="33"/>
      <c r="G349" s="33"/>
      <c r="H349" s="57" t="s">
        <v>229</v>
      </c>
      <c r="I349" s="52">
        <v>997</v>
      </c>
      <c r="J349" s="33"/>
      <c r="K349" s="33"/>
      <c r="L349" s="33"/>
      <c r="M349" s="33"/>
      <c r="N349" s="34"/>
      <c r="O349" s="33"/>
      <c r="P349" s="33"/>
      <c r="Q349" s="33"/>
      <c r="R349" s="33"/>
      <c r="S349" s="33"/>
      <c r="T349" s="33"/>
    </row>
    <row r="350" spans="1:20" ht="12.75">
      <c r="A350" s="33"/>
      <c r="B350" s="33"/>
      <c r="C350" s="33"/>
      <c r="D350" s="33"/>
      <c r="E350" s="33"/>
      <c r="F350" s="33"/>
      <c r="G350" s="33"/>
      <c r="H350" s="56" t="s">
        <v>227</v>
      </c>
      <c r="I350" s="52">
        <v>2808.16</v>
      </c>
      <c r="J350" s="33"/>
      <c r="K350" s="33"/>
      <c r="L350" s="33"/>
      <c r="M350" s="33"/>
      <c r="N350" s="34"/>
      <c r="O350" s="33"/>
      <c r="P350" s="33"/>
      <c r="Q350" s="33"/>
      <c r="R350" s="33"/>
      <c r="S350" s="33"/>
      <c r="T350" s="33"/>
    </row>
    <row r="351" spans="1:20" ht="12.75">
      <c r="A351" s="33"/>
      <c r="B351" s="1" t="s">
        <v>214</v>
      </c>
      <c r="C351" s="33"/>
      <c r="D351" s="33"/>
      <c r="E351" s="33"/>
      <c r="F351" s="33"/>
      <c r="G351" s="33"/>
      <c r="H351" s="56" t="s">
        <v>224</v>
      </c>
      <c r="I351" s="52">
        <v>0.918</v>
      </c>
      <c r="J351" s="33"/>
      <c r="K351" s="33"/>
      <c r="L351" s="33"/>
      <c r="M351" s="33"/>
      <c r="N351" s="34"/>
      <c r="O351" s="33"/>
      <c r="P351" s="33"/>
      <c r="Q351" s="33"/>
      <c r="R351" s="33"/>
      <c r="S351" s="33"/>
      <c r="T351" s="33"/>
    </row>
    <row r="352" spans="1:20" ht="12.75">
      <c r="A352" s="33"/>
      <c r="B352" s="77" t="s">
        <v>215</v>
      </c>
      <c r="C352" s="77"/>
      <c r="D352" s="77"/>
      <c r="E352" s="77"/>
      <c r="F352" s="77"/>
      <c r="G352" s="33"/>
      <c r="H352" s="56" t="s">
        <v>225</v>
      </c>
      <c r="I352" s="52">
        <f>I351*10^5</f>
        <v>91800</v>
      </c>
      <c r="J352" s="33"/>
      <c r="K352" s="33"/>
      <c r="L352" s="33"/>
      <c r="M352" s="33"/>
      <c r="N352" s="34"/>
      <c r="O352" s="33"/>
      <c r="P352" s="33"/>
      <c r="Q352" s="33"/>
      <c r="R352" s="33"/>
      <c r="S352" s="33"/>
      <c r="T352" s="33"/>
    </row>
    <row r="353" spans="1:20" ht="12.75">
      <c r="A353" s="33"/>
      <c r="B353" s="56" t="s">
        <v>216</v>
      </c>
      <c r="C353" s="52">
        <v>0.0525</v>
      </c>
      <c r="D353" s="33"/>
      <c r="E353" s="33"/>
      <c r="F353" s="33"/>
      <c r="G353" s="33"/>
      <c r="H353" s="56" t="s">
        <v>226</v>
      </c>
      <c r="I353" s="52">
        <v>9.8</v>
      </c>
      <c r="J353" s="33"/>
      <c r="K353" s="33"/>
      <c r="L353" s="33"/>
      <c r="M353" s="33"/>
      <c r="N353" s="34"/>
      <c r="O353" s="33"/>
      <c r="P353" s="33"/>
      <c r="Q353" s="33"/>
      <c r="R353" s="33"/>
      <c r="S353" s="33"/>
      <c r="T353" s="33"/>
    </row>
    <row r="354" spans="1:20" ht="12.75">
      <c r="A354" s="33"/>
      <c r="B354" s="56" t="s">
        <v>217</v>
      </c>
      <c r="C354" s="52">
        <v>0.00217</v>
      </c>
      <c r="D354" s="33"/>
      <c r="E354" s="33"/>
      <c r="F354" s="33"/>
      <c r="G354" s="33"/>
      <c r="H354" s="63"/>
      <c r="I354" s="63"/>
      <c r="J354" s="33"/>
      <c r="K354" s="33"/>
      <c r="L354" s="33"/>
      <c r="M354" s="33"/>
      <c r="N354" s="34"/>
      <c r="O354" s="33"/>
      <c r="P354" s="33"/>
      <c r="Q354" s="33"/>
      <c r="R354" s="33"/>
      <c r="S354" s="33"/>
      <c r="T354" s="33"/>
    </row>
    <row r="355" spans="1:20" ht="15">
      <c r="A355" s="33"/>
      <c r="B355" s="77" t="s">
        <v>218</v>
      </c>
      <c r="C355" s="77"/>
      <c r="D355" s="77"/>
      <c r="E355" s="77"/>
      <c r="F355" s="77"/>
      <c r="G355" s="33"/>
      <c r="H355" s="51" t="s">
        <v>231</v>
      </c>
      <c r="I355" s="51" t="s">
        <v>232</v>
      </c>
      <c r="J355" s="33"/>
      <c r="K355" s="33"/>
      <c r="L355" s="33"/>
      <c r="M355" s="33"/>
      <c r="N355" s="34"/>
      <c r="O355" s="33"/>
      <c r="P355" s="33"/>
      <c r="Q355" s="33"/>
      <c r="R355" s="33"/>
      <c r="S355" s="33"/>
      <c r="T355" s="33"/>
    </row>
    <row r="356" spans="1:20" ht="12.75">
      <c r="A356" s="33"/>
      <c r="B356" s="56" t="s">
        <v>216</v>
      </c>
      <c r="C356" s="52">
        <v>0.0408</v>
      </c>
      <c r="D356" s="33"/>
      <c r="E356" s="33"/>
      <c r="F356" s="33"/>
      <c r="G356" s="33"/>
      <c r="H356" s="52">
        <v>0.29</v>
      </c>
      <c r="I356" s="52">
        <v>0.29</v>
      </c>
      <c r="J356" s="33"/>
      <c r="K356" s="33"/>
      <c r="L356" s="33"/>
      <c r="M356" s="33"/>
      <c r="N356" s="34"/>
      <c r="O356" s="33"/>
      <c r="P356" s="33"/>
      <c r="Q356" s="33"/>
      <c r="R356" s="33"/>
      <c r="S356" s="33"/>
      <c r="T356" s="33"/>
    </row>
    <row r="357" spans="1:20" ht="12.75">
      <c r="A357" s="33"/>
      <c r="B357" s="56" t="s">
        <v>217</v>
      </c>
      <c r="C357" s="52">
        <v>0.00131</v>
      </c>
      <c r="D357" s="33"/>
      <c r="E357" s="77" t="s">
        <v>259</v>
      </c>
      <c r="F357" s="77"/>
      <c r="G357" s="77"/>
      <c r="H357" s="1" t="s">
        <v>258</v>
      </c>
      <c r="I357" s="33"/>
      <c r="J357" s="33"/>
      <c r="K357" s="33"/>
      <c r="L357" s="33"/>
      <c r="M357" s="33"/>
      <c r="N357" s="34"/>
      <c r="O357" s="33"/>
      <c r="P357" s="33"/>
      <c r="Q357" s="33"/>
      <c r="R357" s="33"/>
      <c r="S357" s="33"/>
      <c r="T357" s="33"/>
    </row>
    <row r="358" spans="1:20" ht="12.75">
      <c r="A358" s="33"/>
      <c r="B358" s="33"/>
      <c r="C358" s="33"/>
      <c r="D358" s="33"/>
      <c r="E358" s="33"/>
      <c r="F358" s="33"/>
      <c r="G358" s="33"/>
      <c r="H358" s="2">
        <v>3500</v>
      </c>
      <c r="I358" s="33"/>
      <c r="J358" s="33"/>
      <c r="K358" s="33"/>
      <c r="L358" s="33"/>
      <c r="M358" s="33"/>
      <c r="N358" s="34"/>
      <c r="O358" s="33"/>
      <c r="P358" s="33"/>
      <c r="Q358" s="33"/>
      <c r="R358" s="33"/>
      <c r="S358" s="33"/>
      <c r="T358" s="33"/>
    </row>
    <row r="359" spans="1:20" ht="12.75">
      <c r="A359" s="77" t="s">
        <v>230</v>
      </c>
      <c r="B359" s="77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4"/>
      <c r="O359" s="33"/>
      <c r="P359" s="33"/>
      <c r="Q359" s="33"/>
      <c r="R359" s="33"/>
      <c r="S359" s="33"/>
      <c r="T359" s="33"/>
    </row>
    <row r="360" spans="1:20" ht="12.75">
      <c r="A360" s="33"/>
      <c r="B360" s="79"/>
      <c r="C360" s="79"/>
      <c r="D360" s="79"/>
      <c r="E360" s="79"/>
      <c r="F360" s="79"/>
      <c r="G360" s="79"/>
      <c r="H360" s="79"/>
      <c r="I360" s="79"/>
      <c r="J360" s="79"/>
      <c r="K360" s="33"/>
      <c r="L360" s="33"/>
      <c r="M360" s="33"/>
      <c r="N360" s="34"/>
      <c r="O360" s="33"/>
      <c r="P360" s="33"/>
      <c r="Q360" s="33"/>
      <c r="R360" s="33"/>
      <c r="S360" s="33"/>
      <c r="T360" s="33"/>
    </row>
    <row r="361" spans="1:20" ht="12.75">
      <c r="A361" s="33"/>
      <c r="B361" s="79"/>
      <c r="C361" s="79"/>
      <c r="D361" s="79"/>
      <c r="E361" s="79"/>
      <c r="F361" s="79"/>
      <c r="G361" s="79"/>
      <c r="H361" s="79"/>
      <c r="I361" s="79"/>
      <c r="J361" s="79"/>
      <c r="K361" s="33"/>
      <c r="L361" s="33"/>
      <c r="M361" s="33"/>
      <c r="N361" s="34"/>
      <c r="O361" s="33"/>
      <c r="P361" s="33"/>
      <c r="Q361" s="33"/>
      <c r="R361" s="33"/>
      <c r="S361" s="33"/>
      <c r="T361" s="33"/>
    </row>
    <row r="362" spans="1:20" ht="12.75">
      <c r="A362" s="33"/>
      <c r="B362" s="79"/>
      <c r="C362" s="79"/>
      <c r="D362" s="79"/>
      <c r="E362" s="79"/>
      <c r="F362" s="79"/>
      <c r="G362" s="79"/>
      <c r="H362" s="79"/>
      <c r="I362" s="79"/>
      <c r="J362" s="79"/>
      <c r="K362" s="33"/>
      <c r="L362" s="33"/>
      <c r="M362" s="33"/>
      <c r="N362" s="34"/>
      <c r="O362" s="33"/>
      <c r="P362" s="33"/>
      <c r="Q362" s="33"/>
      <c r="R362" s="33"/>
      <c r="S362" s="33"/>
      <c r="T362" s="33"/>
    </row>
    <row r="363" spans="1:20" ht="12.75">
      <c r="A363" s="33"/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33"/>
      <c r="Q363" s="33"/>
      <c r="R363" s="33"/>
      <c r="S363" s="33"/>
      <c r="T363" s="33"/>
    </row>
    <row r="364" spans="1:20" ht="12.75">
      <c r="A364" s="33"/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33"/>
      <c r="Q364" s="33"/>
      <c r="R364" s="33"/>
      <c r="S364" s="33"/>
      <c r="T364" s="33"/>
    </row>
    <row r="365" spans="1:20" ht="12.75">
      <c r="A365" s="33"/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33"/>
      <c r="Q365" s="33"/>
      <c r="R365" s="33"/>
      <c r="S365" s="33"/>
      <c r="T365" s="33"/>
    </row>
    <row r="366" spans="1:20" ht="12.75">
      <c r="A366" s="33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33"/>
      <c r="Q366" s="33"/>
      <c r="R366" s="33"/>
      <c r="S366" s="33"/>
      <c r="T366" s="33"/>
    </row>
    <row r="367" spans="1:20" ht="12.75">
      <c r="A367" s="33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33"/>
      <c r="Q367" s="33"/>
      <c r="R367" s="33"/>
      <c r="S367" s="33"/>
      <c r="T367" s="33"/>
    </row>
    <row r="368" spans="1:20" ht="12.75">
      <c r="A368" s="33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33"/>
      <c r="Q368" s="33"/>
      <c r="R368" s="33"/>
      <c r="S368" s="33"/>
      <c r="T368" s="33"/>
    </row>
    <row r="369" spans="1:20" ht="12.75">
      <c r="A369" s="33"/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33"/>
      <c r="Q369" s="33"/>
      <c r="R369" s="33"/>
      <c r="S369" s="33"/>
      <c r="T369" s="33"/>
    </row>
    <row r="370" spans="1:20" ht="12.75">
      <c r="A370" s="33"/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33"/>
      <c r="Q370" s="33"/>
      <c r="R370" s="33"/>
      <c r="S370" s="33"/>
      <c r="T370" s="33"/>
    </row>
    <row r="371" spans="1:20" ht="12.75">
      <c r="A371" s="33"/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33"/>
      <c r="Q371" s="33"/>
      <c r="R371" s="33"/>
      <c r="S371" s="33"/>
      <c r="T371" s="33"/>
    </row>
    <row r="372" spans="1:20" ht="12.75">
      <c r="A372" s="77" t="s">
        <v>242</v>
      </c>
      <c r="B372" s="77"/>
      <c r="C372" s="77"/>
      <c r="D372" s="77"/>
      <c r="E372" s="33"/>
      <c r="F372" s="33"/>
      <c r="G372" s="33"/>
      <c r="H372" s="33"/>
      <c r="I372" s="33"/>
      <c r="J372" s="33"/>
      <c r="K372" s="33"/>
      <c r="L372" s="33"/>
      <c r="M372" s="33"/>
      <c r="N372" s="34"/>
      <c r="O372" s="33"/>
      <c r="P372" s="33"/>
      <c r="Q372" s="33"/>
      <c r="R372" s="33"/>
      <c r="S372" s="33"/>
      <c r="T372" s="33"/>
    </row>
    <row r="373" spans="1:20" ht="12.7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4"/>
      <c r="O373" s="33"/>
      <c r="P373" s="33"/>
      <c r="Q373" s="33"/>
      <c r="R373" s="33"/>
      <c r="S373" s="33"/>
      <c r="T373" s="33"/>
    </row>
    <row r="374" spans="1:20" ht="15">
      <c r="A374" s="33"/>
      <c r="B374" s="33"/>
      <c r="C374" s="33"/>
      <c r="D374" s="51" t="s">
        <v>233</v>
      </c>
      <c r="E374" s="51" t="s">
        <v>234</v>
      </c>
      <c r="F374" s="51" t="s">
        <v>236</v>
      </c>
      <c r="G374" s="51" t="s">
        <v>237</v>
      </c>
      <c r="H374" s="51" t="s">
        <v>235</v>
      </c>
      <c r="I374" s="51" t="s">
        <v>238</v>
      </c>
      <c r="J374" s="51" t="s">
        <v>239</v>
      </c>
      <c r="K374" s="51" t="s">
        <v>240</v>
      </c>
      <c r="L374" s="51" t="s">
        <v>241</v>
      </c>
      <c r="M374" s="33"/>
      <c r="N374" s="34"/>
      <c r="O374" s="33"/>
      <c r="P374" s="33"/>
      <c r="Q374" s="33"/>
      <c r="R374" s="33"/>
      <c r="S374" s="33"/>
      <c r="T374" s="33"/>
    </row>
    <row r="375" spans="1:20" ht="12.75">
      <c r="A375" s="33"/>
      <c r="B375" s="33"/>
      <c r="C375" s="33"/>
      <c r="D375" s="52">
        <v>89.4</v>
      </c>
      <c r="E375" s="52">
        <v>3416</v>
      </c>
      <c r="F375" s="52">
        <v>0.782</v>
      </c>
      <c r="G375" s="52">
        <v>307</v>
      </c>
      <c r="H375" s="53">
        <v>0.92</v>
      </c>
      <c r="I375" s="53">
        <v>99.5</v>
      </c>
      <c r="J375" s="53">
        <v>3430</v>
      </c>
      <c r="K375" s="53">
        <v>0.793</v>
      </c>
      <c r="L375" s="53">
        <v>317</v>
      </c>
      <c r="M375" s="33"/>
      <c r="N375" s="34"/>
      <c r="O375" s="33"/>
      <c r="P375" s="33"/>
      <c r="Q375" s="33"/>
      <c r="R375" s="33"/>
      <c r="S375" s="33"/>
      <c r="T375" s="33"/>
    </row>
    <row r="376" spans="1:20" ht="12.7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4"/>
      <c r="O376" s="33"/>
      <c r="P376" s="33"/>
      <c r="Q376" s="33"/>
      <c r="R376" s="33"/>
      <c r="S376" s="33"/>
      <c r="T376" s="33"/>
    </row>
    <row r="377" spans="1:20" ht="12.75">
      <c r="A377" s="77" t="s">
        <v>243</v>
      </c>
      <c r="B377" s="77"/>
      <c r="C377" s="77"/>
      <c r="D377" s="77"/>
      <c r="E377" s="33"/>
      <c r="F377" s="33"/>
      <c r="G377" s="33"/>
      <c r="H377" s="33"/>
      <c r="I377" s="33"/>
      <c r="J377" s="33"/>
      <c r="K377" s="33"/>
      <c r="L377" s="33"/>
      <c r="M377" s="33"/>
      <c r="N377" s="34"/>
      <c r="O377" s="33"/>
      <c r="P377" s="33"/>
      <c r="Q377" s="33"/>
      <c r="R377" s="33"/>
      <c r="S377" s="33"/>
      <c r="T377" s="33"/>
    </row>
    <row r="378" spans="1:20" ht="12.75">
      <c r="A378" s="33"/>
      <c r="B378" s="33"/>
      <c r="C378" s="33"/>
      <c r="E378" s="33"/>
      <c r="F378" s="33"/>
      <c r="G378" s="33"/>
      <c r="H378" s="33"/>
      <c r="I378" s="33"/>
      <c r="J378" s="33"/>
      <c r="K378" s="33"/>
      <c r="L378" s="33"/>
      <c r="M378" s="33"/>
      <c r="N378" s="34"/>
      <c r="O378" s="33"/>
      <c r="P378" s="33"/>
      <c r="Q378" s="33"/>
      <c r="R378" s="33"/>
      <c r="S378" s="33"/>
      <c r="T378" s="33"/>
    </row>
    <row r="379" spans="1:20" ht="15">
      <c r="A379" s="33"/>
      <c r="B379" s="33"/>
      <c r="C379" s="33"/>
      <c r="D379" s="51" t="s">
        <v>244</v>
      </c>
      <c r="E379" s="51" t="s">
        <v>245</v>
      </c>
      <c r="F379" s="51" t="s">
        <v>246</v>
      </c>
      <c r="G379" s="51" t="s">
        <v>247</v>
      </c>
      <c r="H379" s="51" t="s">
        <v>248</v>
      </c>
      <c r="I379" s="51" t="s">
        <v>249</v>
      </c>
      <c r="J379" s="51" t="s">
        <v>250</v>
      </c>
      <c r="K379" s="51" t="s">
        <v>251</v>
      </c>
      <c r="L379" s="51" t="s">
        <v>252</v>
      </c>
      <c r="M379" s="56" t="s">
        <v>257</v>
      </c>
      <c r="N379" s="51" t="s">
        <v>253</v>
      </c>
      <c r="O379" s="33"/>
      <c r="P379" s="33"/>
      <c r="Q379" s="33"/>
      <c r="R379" s="33"/>
      <c r="S379" s="33"/>
      <c r="T379" s="33"/>
    </row>
    <row r="380" spans="1:20" ht="12.75">
      <c r="A380" s="33"/>
      <c r="B380" s="33"/>
      <c r="C380" s="33"/>
      <c r="D380" s="54">
        <f>D375/(1000*60)</f>
        <v>0.00149</v>
      </c>
      <c r="E380" s="55">
        <f>(D380^2)/(2*I353*C357^2)</f>
        <v>0.06600454994654466</v>
      </c>
      <c r="F380" s="55">
        <f>(D380^2)/(2*I353*C354^2)</f>
        <v>0.024054536762994606</v>
      </c>
      <c r="G380" s="58">
        <f>H356+((G375*1000-(F375-H375)*100000)/(I349*I353))+(E380-F380)</f>
        <v>33.165143471108344</v>
      </c>
      <c r="H380" s="54">
        <f>I375/(1000*60)</f>
        <v>0.0016583333333333333</v>
      </c>
      <c r="I380" s="55">
        <f>(H380^2)/(2*I353*C357^2)</f>
        <v>0.08176077474091242</v>
      </c>
      <c r="J380" s="55">
        <f>(H380^2)/(2*I353*C354^2)</f>
        <v>0.029796696793917856</v>
      </c>
      <c r="K380" s="58">
        <f>I356+((L375*1000-(K375-H375)*100000)/(I349*I353))+(I380-J380)</f>
        <v>34.08605348903741</v>
      </c>
      <c r="L380" s="5">
        <f>(D380/(D380+H380))*G380+(H380/(D380+H380))*K380</f>
        <v>33.650217832060925</v>
      </c>
      <c r="M380" s="58">
        <f>(E375+J375)/(2)</f>
        <v>3423</v>
      </c>
      <c r="N380" s="59">
        <f>D380+H380</f>
        <v>0.0031483333333333333</v>
      </c>
      <c r="O380" s="33"/>
      <c r="P380" s="33"/>
      <c r="Q380" s="33"/>
      <c r="R380" s="33"/>
      <c r="S380" s="33"/>
      <c r="T380" s="33"/>
    </row>
    <row r="381" spans="1:20" ht="12.7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4"/>
      <c r="O381" s="33"/>
      <c r="P381" s="33"/>
      <c r="Q381" s="33"/>
      <c r="R381" s="33"/>
      <c r="S381" s="33"/>
      <c r="T381" s="33"/>
    </row>
    <row r="382" spans="1:20" ht="15">
      <c r="A382" s="33"/>
      <c r="B382" s="33"/>
      <c r="C382" s="33"/>
      <c r="D382" s="51" t="s">
        <v>254</v>
      </c>
      <c r="E382" s="60" t="s">
        <v>255</v>
      </c>
      <c r="F382" s="60" t="s">
        <v>256</v>
      </c>
      <c r="G382" s="33"/>
      <c r="H382" s="33"/>
      <c r="I382" s="33"/>
      <c r="J382" s="33"/>
      <c r="K382" s="33"/>
      <c r="L382" s="33"/>
      <c r="M382" s="33"/>
      <c r="N382" s="34"/>
      <c r="O382" s="33"/>
      <c r="P382" s="33"/>
      <c r="Q382" s="33"/>
      <c r="R382" s="33"/>
      <c r="S382" s="33"/>
      <c r="T382" s="33"/>
    </row>
    <row r="383" spans="1:20" ht="12.75">
      <c r="A383" s="33"/>
      <c r="B383" s="33"/>
      <c r="C383" s="33"/>
      <c r="D383" s="41">
        <f>N380*3600</f>
        <v>11.334</v>
      </c>
      <c r="E383" s="61">
        <f>((H358/M380))*D383</f>
        <v>11.588957055214724</v>
      </c>
      <c r="F383" s="62">
        <f>((H358/M380)^2)*L380</f>
        <v>35.18116124478917</v>
      </c>
      <c r="G383" s="33"/>
      <c r="H383" s="33"/>
      <c r="I383" s="33"/>
      <c r="J383" s="33"/>
      <c r="K383" s="33"/>
      <c r="L383" s="33"/>
      <c r="M383" s="33"/>
      <c r="N383" s="34"/>
      <c r="O383" s="33"/>
      <c r="P383" s="33"/>
      <c r="Q383" s="33"/>
      <c r="R383" s="33"/>
      <c r="S383" s="33"/>
      <c r="T383" s="33"/>
    </row>
    <row r="384" spans="1:20" ht="12.7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4"/>
      <c r="O384" s="33"/>
      <c r="P384" s="33"/>
      <c r="Q384" s="33"/>
      <c r="R384" s="33"/>
      <c r="S384" s="33"/>
      <c r="T384" s="33"/>
    </row>
  </sheetData>
  <mergeCells count="137">
    <mergeCell ref="K363:O371"/>
    <mergeCell ref="A372:D372"/>
    <mergeCell ref="B360:J371"/>
    <mergeCell ref="E357:G357"/>
    <mergeCell ref="B352:F352"/>
    <mergeCell ref="B355:F355"/>
    <mergeCell ref="A359:B359"/>
    <mergeCell ref="A377:D377"/>
    <mergeCell ref="B343:J343"/>
    <mergeCell ref="B346:F346"/>
    <mergeCell ref="B348:F348"/>
    <mergeCell ref="B335:J335"/>
    <mergeCell ref="E337:F337"/>
    <mergeCell ref="B339:J339"/>
    <mergeCell ref="E341:F341"/>
    <mergeCell ref="J341:N341"/>
    <mergeCell ref="B315:J315"/>
    <mergeCell ref="B317:H333"/>
    <mergeCell ref="J320:N320"/>
    <mergeCell ref="J324:O324"/>
    <mergeCell ref="J328:P328"/>
    <mergeCell ref="J332:P332"/>
    <mergeCell ref="O56:Q56"/>
    <mergeCell ref="O52:Q52"/>
    <mergeCell ref="O53:Q53"/>
    <mergeCell ref="O54:Q54"/>
    <mergeCell ref="O55:Q55"/>
    <mergeCell ref="O48:Q48"/>
    <mergeCell ref="O49:Q49"/>
    <mergeCell ref="O50:Q50"/>
    <mergeCell ref="O51:Q51"/>
    <mergeCell ref="O41:Q41"/>
    <mergeCell ref="O42:Q42"/>
    <mergeCell ref="O43:Q43"/>
    <mergeCell ref="O44:Q44"/>
    <mergeCell ref="O37:Q37"/>
    <mergeCell ref="O38:Q38"/>
    <mergeCell ref="O39:Q39"/>
    <mergeCell ref="O40:Q40"/>
    <mergeCell ref="O33:Q33"/>
    <mergeCell ref="O34:Q34"/>
    <mergeCell ref="O35:Q35"/>
    <mergeCell ref="O36:Q36"/>
    <mergeCell ref="O29:Q29"/>
    <mergeCell ref="O30:Q30"/>
    <mergeCell ref="O31:Q31"/>
    <mergeCell ref="O32:Q32"/>
    <mergeCell ref="O25:Q25"/>
    <mergeCell ref="O26:Q26"/>
    <mergeCell ref="O27:Q27"/>
    <mergeCell ref="O28:Q28"/>
    <mergeCell ref="O21:Q21"/>
    <mergeCell ref="O22:Q22"/>
    <mergeCell ref="O23:Q23"/>
    <mergeCell ref="O24:Q24"/>
    <mergeCell ref="O17:Q17"/>
    <mergeCell ref="O18:Q18"/>
    <mergeCell ref="O19:Q19"/>
    <mergeCell ref="O20:Q20"/>
    <mergeCell ref="A1:O1"/>
    <mergeCell ref="A8:O8"/>
    <mergeCell ref="N14:R14"/>
    <mergeCell ref="O16:Q16"/>
    <mergeCell ref="E10:F10"/>
    <mergeCell ref="A3:O3"/>
    <mergeCell ref="B35:L35"/>
    <mergeCell ref="B38:L38"/>
    <mergeCell ref="B41:L41"/>
    <mergeCell ref="B14:L14"/>
    <mergeCell ref="B19:L19"/>
    <mergeCell ref="B26:L26"/>
    <mergeCell ref="O57:Q57"/>
    <mergeCell ref="B44:C44"/>
    <mergeCell ref="D44:F44"/>
    <mergeCell ref="D48:F48"/>
    <mergeCell ref="C50:J76"/>
    <mergeCell ref="L59:Q59"/>
    <mergeCell ref="L66:Q66"/>
    <mergeCell ref="O45:Q45"/>
    <mergeCell ref="O46:Q46"/>
    <mergeCell ref="O47:Q47"/>
    <mergeCell ref="C80:L80"/>
    <mergeCell ref="B106:C106"/>
    <mergeCell ref="H83:P103"/>
    <mergeCell ref="C190:J190"/>
    <mergeCell ref="B109:I109"/>
    <mergeCell ref="L107:O107"/>
    <mergeCell ref="I110:Q113"/>
    <mergeCell ref="B114:H114"/>
    <mergeCell ref="A118:F118"/>
    <mergeCell ref="B124:C124"/>
    <mergeCell ref="C126:L126"/>
    <mergeCell ref="J130:O130"/>
    <mergeCell ref="J132:O132"/>
    <mergeCell ref="B136:I136"/>
    <mergeCell ref="B146:C146"/>
    <mergeCell ref="B142:I142"/>
    <mergeCell ref="B149:I149"/>
    <mergeCell ref="J149:K149"/>
    <mergeCell ref="D174:M174"/>
    <mergeCell ref="I178:N178"/>
    <mergeCell ref="I180:N180"/>
    <mergeCell ref="C184:J184"/>
    <mergeCell ref="C194:G194"/>
    <mergeCell ref="C197:J197"/>
    <mergeCell ref="C199:H199"/>
    <mergeCell ref="F258:K258"/>
    <mergeCell ref="D205:E205"/>
    <mergeCell ref="C207:L207"/>
    <mergeCell ref="A220:M252"/>
    <mergeCell ref="B254:C254"/>
    <mergeCell ref="F262:J262"/>
    <mergeCell ref="F267:G267"/>
    <mergeCell ref="F265:M265"/>
    <mergeCell ref="B269:C269"/>
    <mergeCell ref="D269:I269"/>
    <mergeCell ref="B273:M273"/>
    <mergeCell ref="K275:Q275"/>
    <mergeCell ref="L277:O285"/>
    <mergeCell ref="L288:Q288"/>
    <mergeCell ref="L290:O294"/>
    <mergeCell ref="M274:P274"/>
    <mergeCell ref="B275:J296"/>
    <mergeCell ref="B298:J298"/>
    <mergeCell ref="B303:J303"/>
    <mergeCell ref="B309:E309"/>
    <mergeCell ref="B313:J313"/>
    <mergeCell ref="H45:M45"/>
    <mergeCell ref="A158:T158"/>
    <mergeCell ref="D162:F162"/>
    <mergeCell ref="L162:N162"/>
    <mergeCell ref="H162:J162"/>
    <mergeCell ref="A160:O160"/>
    <mergeCell ref="M149:N149"/>
    <mergeCell ref="B151:C151"/>
    <mergeCell ref="D151:F151"/>
    <mergeCell ref="D155:F155"/>
  </mergeCells>
  <printOptions/>
  <pageMargins left="0.75" right="0.75" top="1" bottom="1" header="0.5" footer="0.5"/>
  <pageSetup orientation="portrait" r:id="rId9"/>
  <drawing r:id="rId8"/>
  <legacyDrawing r:id="rId7"/>
  <oleObjects>
    <oleObject progId="Equation.3" shapeId="243522" r:id="rId1"/>
    <oleObject progId="Equation.3" shapeId="2023621" r:id="rId2"/>
    <oleObject progId="Equation.3" shapeId="2035991" r:id="rId3"/>
    <oleObject progId="Equation.3" shapeId="212220" r:id="rId4"/>
    <oleObject progId="Equation.3" shapeId="366774" r:id="rId5"/>
    <oleObject progId="Equation.3" shapeId="371471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39">
      <selection activeCell="I60" sqref="I60"/>
    </sheetView>
  </sheetViews>
  <sheetFormatPr defaultColWidth="9.140625" defaultRowHeight="12.75"/>
  <cols>
    <col min="1" max="5" width="9.140625" style="2" customWidth="1"/>
    <col min="9" max="9" width="9.140625" style="2" customWidth="1"/>
  </cols>
  <sheetData>
    <row r="1" spans="1:8" ht="12.75">
      <c r="A1" s="77" t="s">
        <v>0</v>
      </c>
      <c r="B1" s="77"/>
      <c r="C1" s="77"/>
      <c r="D1" s="77"/>
      <c r="E1" s="77"/>
      <c r="F1" s="77"/>
      <c r="G1" s="77"/>
      <c r="H1" s="1"/>
    </row>
    <row r="3" spans="1:11" ht="12.75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2" t="s">
        <v>49</v>
      </c>
      <c r="G3" s="2" t="s">
        <v>50</v>
      </c>
      <c r="H3" s="2" t="s">
        <v>54</v>
      </c>
      <c r="I3" s="2" t="s">
        <v>51</v>
      </c>
      <c r="J3" s="2" t="s">
        <v>52</v>
      </c>
      <c r="K3" s="2" t="s">
        <v>53</v>
      </c>
    </row>
    <row r="4" spans="1:11" ht="12.75">
      <c r="A4" s="2">
        <v>0</v>
      </c>
      <c r="B4" s="2">
        <v>36.5</v>
      </c>
      <c r="I4" s="5">
        <f>'Dados e resoluções'!D78+'Dados e resoluções'!$F$78*((A4/3600)^2)+'Dados e resoluções'!$I$78*F4*((A4/3600)^2)+'Dados e resoluções'!$L$78*G4*((A4/3600)^2)</f>
        <v>21.164350193437457</v>
      </c>
      <c r="J4" s="2">
        <f>40+10834.89*(A4/3600)^2+F4*370178.07*(A4/3600)^2+G4*23182534.59*(A4/3600)^2</f>
        <v>40</v>
      </c>
      <c r="K4" s="2">
        <f aca="true" t="shared" si="0" ref="K4:K14">2*B4</f>
        <v>73</v>
      </c>
    </row>
    <row r="5" spans="1:11" ht="12.75">
      <c r="A5" s="2">
        <v>6</v>
      </c>
      <c r="B5" s="2">
        <v>36.5</v>
      </c>
      <c r="F5" s="4">
        <v>0.02491992506023805</v>
      </c>
      <c r="G5" s="4">
        <v>0.02401962197592115</v>
      </c>
      <c r="H5" s="4">
        <v>0.02389786322465496</v>
      </c>
      <c r="I5" s="5">
        <f>'Dados e resoluções'!$D$78+'Dados e resoluções'!$F$78*((A5/3600)^2)+'Dados e resoluções'!$I$78*F5*((A5/3600)^2)+'Dados e resoluções'!$L$78*G5*((A5/3600)^2)</f>
        <v>21.79622217333846</v>
      </c>
      <c r="J5" s="5">
        <f aca="true" t="shared" si="1" ref="J5:J14">40+10834.89*(A5/3600)^2+F5*370178.07*(A5/3600)^2+G5*23182534.59*(A5/3600)^2</f>
        <v>41.60248726960795</v>
      </c>
      <c r="K5" s="2">
        <f t="shared" si="0"/>
        <v>73</v>
      </c>
    </row>
    <row r="6" spans="1:11" ht="12.75">
      <c r="A6" s="2">
        <v>8</v>
      </c>
      <c r="B6" s="2">
        <v>36.5</v>
      </c>
      <c r="C6" s="2">
        <v>42</v>
      </c>
      <c r="F6" s="4">
        <v>0.023646740236917548</v>
      </c>
      <c r="G6" s="4">
        <v>0.023064724155488152</v>
      </c>
      <c r="H6" s="4">
        <v>0.023142052944031922</v>
      </c>
      <c r="I6" s="5">
        <f>'Dados e resoluções'!$D$78+'Dados e resoluções'!$F$78*((A6/3600)^2)+'Dados e resoluções'!$I$78*F6*((A6/3600)^2)+'Dados e resoluções'!$L$78*G6*((A6/3600)^2)</f>
        <v>22.244691694116177</v>
      </c>
      <c r="J6" s="5">
        <f t="shared" si="1"/>
        <v>42.73722054422768</v>
      </c>
      <c r="K6" s="2">
        <f t="shared" si="0"/>
        <v>73</v>
      </c>
    </row>
    <row r="7" spans="1:11" ht="12.75">
      <c r="A7" s="2">
        <v>10</v>
      </c>
      <c r="B7" s="2">
        <v>36.5</v>
      </c>
      <c r="C7" s="2">
        <v>46.5</v>
      </c>
      <c r="F7" s="4">
        <v>0.02277549499664984</v>
      </c>
      <c r="G7" s="4">
        <v>0.02242879821306807</v>
      </c>
      <c r="H7" s="4">
        <v>0.022649336685245186</v>
      </c>
      <c r="I7" s="5">
        <f>'Dados e resoluções'!$D$78+'Dados e resoluções'!$F$78*((A7/3600)^2)+'Dados e resoluções'!$I$78*F7*((A7/3600)^2)+'Dados e resoluções'!$L$78*G7*((A7/3600)^2)</f>
        <v>22.80759466307195</v>
      </c>
      <c r="J7" s="5">
        <f t="shared" si="1"/>
        <v>44.16066565715845</v>
      </c>
      <c r="K7" s="2">
        <f t="shared" si="0"/>
        <v>73</v>
      </c>
    </row>
    <row r="8" spans="1:11" ht="12.75">
      <c r="A8" s="2">
        <v>15</v>
      </c>
      <c r="B8" s="2">
        <v>35.5</v>
      </c>
      <c r="C8" s="2">
        <v>56</v>
      </c>
      <c r="D8" s="2">
        <v>8.4</v>
      </c>
      <c r="E8" s="5">
        <f>10-D8+2242.34*(A8/3600)^2+0.5</f>
        <v>2.138929513888889</v>
      </c>
      <c r="F8" s="4">
        <v>0.021429370013467643</v>
      </c>
      <c r="G8" s="4">
        <v>0.0214818018256633</v>
      </c>
      <c r="H8" s="4">
        <v>0.02193455030803235</v>
      </c>
      <c r="I8" s="5">
        <f>'Dados e resoluções'!$D$78+'Dados e resoluções'!$F$78*((A8/3600)^2)+'Dados e resoluções'!$I$78*F8*((A8/3600)^2)+'Dados e resoluções'!$L$78*G8*((A8/3600)^2)</f>
        <v>24.7113029832933</v>
      </c>
      <c r="J8" s="5">
        <f t="shared" si="1"/>
        <v>48.97170463041434</v>
      </c>
      <c r="K8" s="2">
        <f t="shared" si="0"/>
        <v>71</v>
      </c>
    </row>
    <row r="9" spans="1:11" ht="12.75">
      <c r="A9" s="2">
        <v>20</v>
      </c>
      <c r="B9" s="2">
        <v>33.8</v>
      </c>
      <c r="C9" s="2">
        <v>61.5</v>
      </c>
      <c r="D9" s="2">
        <v>7.75</v>
      </c>
      <c r="E9" s="5">
        <f aca="true" t="shared" si="2" ref="E9:E14">10-D9+2242.34*(A9/3600)^2+0.5</f>
        <v>2.819208024691358</v>
      </c>
      <c r="F9" s="4">
        <v>0.02064282106790929</v>
      </c>
      <c r="G9" s="4">
        <v>0.020952954985307724</v>
      </c>
      <c r="H9" s="4">
        <v>0.021546895153865975</v>
      </c>
      <c r="I9" s="5">
        <f>'Dados e resoluções'!$D$78+'Dados e resoluções'!$F$78*((A9/3600)^2)+'Dados e resoluções'!$I$78*F9*((A9/3600)^2)+'Dados e resoluções'!$L$78*G9*((A9/3600)^2)</f>
        <v>27.320429189354712</v>
      </c>
      <c r="J9" s="5">
        <f t="shared" si="1"/>
        <v>55.56231522752726</v>
      </c>
      <c r="K9" s="2">
        <f t="shared" si="0"/>
        <v>67.6</v>
      </c>
    </row>
    <row r="10" spans="1:11" ht="12.75">
      <c r="A10" s="2">
        <v>22</v>
      </c>
      <c r="B10" s="2">
        <v>33</v>
      </c>
      <c r="C10" s="2">
        <v>62.5</v>
      </c>
      <c r="D10" s="2">
        <v>7.5</v>
      </c>
      <c r="E10" s="5">
        <f t="shared" si="2"/>
        <v>3.083741709876543</v>
      </c>
      <c r="F10" s="4">
        <v>0.020410495329398228</v>
      </c>
      <c r="G10" s="4">
        <v>0.020800784725694316</v>
      </c>
      <c r="H10" s="4">
        <v>0.021437071267965745</v>
      </c>
      <c r="I10" s="5">
        <f>'Dados e resoluções'!$D$78+'Dados e resoluções'!$F$78*((A10/3600)^2)+'Dados e resoluções'!$I$78*F10*((A10/3600)^2)+'Dados e resoluções'!$L$78*G10*((A10/3600)^2)</f>
        <v>28.561041847328248</v>
      </c>
      <c r="J10" s="5">
        <f t="shared" si="1"/>
        <v>58.69544556164546</v>
      </c>
      <c r="K10" s="2">
        <f t="shared" si="0"/>
        <v>66</v>
      </c>
    </row>
    <row r="11" spans="1:11" ht="12.75">
      <c r="A11" s="2">
        <v>24</v>
      </c>
      <c r="B11" s="2">
        <v>32</v>
      </c>
      <c r="C11" s="2">
        <v>63</v>
      </c>
      <c r="D11" s="2">
        <v>7</v>
      </c>
      <c r="E11" s="5">
        <f t="shared" si="2"/>
        <v>3.5996595555555557</v>
      </c>
      <c r="F11" s="4">
        <v>0.020210009743860453</v>
      </c>
      <c r="G11" s="4">
        <v>0.020671071738786347</v>
      </c>
      <c r="H11" s="4">
        <v>0.02134409884918906</v>
      </c>
      <c r="I11" s="5">
        <f>'Dados e resoluções'!$D$78+'Dados e resoluções'!$F$78*((A11/3600)^2)+'Dados e resoluções'!$I$78*F11*((A11/3600)^2)+'Dados e resoluções'!$L$78*G11*((A11/3600)^2)</f>
        <v>29.914071315781968</v>
      </c>
      <c r="J11" s="5">
        <f t="shared" si="1"/>
        <v>62.112179022153306</v>
      </c>
      <c r="K11" s="2">
        <f t="shared" si="0"/>
        <v>64</v>
      </c>
    </row>
    <row r="12" spans="1:11" ht="12.75">
      <c r="A12" s="2">
        <v>26</v>
      </c>
      <c r="B12" s="2">
        <v>31</v>
      </c>
      <c r="C12" s="2">
        <v>62.5</v>
      </c>
      <c r="D12" s="2">
        <v>6.5</v>
      </c>
      <c r="E12" s="5">
        <f t="shared" si="2"/>
        <v>4.116961561728395</v>
      </c>
      <c r="F12" s="4">
        <v>0.0201</v>
      </c>
      <c r="G12" s="4">
        <v>0.020559135700927433</v>
      </c>
      <c r="H12" s="4">
        <v>0.021264358202109306</v>
      </c>
      <c r="I12" s="5">
        <f>'Dados e resoluções'!$D$78+'Dados e resoluções'!$F$78*((A12/3600)^2)+'Dados e resoluções'!$I$78*F12*((A12/3600)^2)+'Dados e resoluções'!$L$78*G12*((A12/3600)^2)</f>
        <v>31.380564290938523</v>
      </c>
      <c r="J12" s="5">
        <f t="shared" si="1"/>
        <v>65.81362039848423</v>
      </c>
      <c r="K12" s="2">
        <f t="shared" si="0"/>
        <v>62</v>
      </c>
    </row>
    <row r="13" spans="1:11" ht="12.75">
      <c r="A13" s="2">
        <v>28</v>
      </c>
      <c r="B13" s="2">
        <v>29.5</v>
      </c>
      <c r="C13" s="2">
        <v>61.5</v>
      </c>
      <c r="D13" s="2">
        <v>5.5</v>
      </c>
      <c r="E13" s="5">
        <f t="shared" si="2"/>
        <v>5.135647728395062</v>
      </c>
      <c r="F13" s="4">
        <v>0.019880901758847786</v>
      </c>
      <c r="G13" s="4">
        <v>0.02046152280588002</v>
      </c>
      <c r="H13" s="4">
        <v>0.021195200886956263</v>
      </c>
      <c r="I13" s="5">
        <f>'Dados e resoluções'!$D$78+'Dados e resoluções'!$F$78*((A13/3600)^2)+'Dados e resoluções'!$I$78*F13*((A13/3600)^2)+'Dados e resoluções'!$L$78*G13*((A13/3600)^2)</f>
        <v>32.95715329162756</v>
      </c>
      <c r="J13" s="5">
        <f t="shared" si="1"/>
        <v>69.79589120822534</v>
      </c>
      <c r="K13" s="2">
        <f t="shared" si="0"/>
        <v>59</v>
      </c>
    </row>
    <row r="14" spans="1:11" ht="12.75">
      <c r="A14" s="2">
        <v>30</v>
      </c>
      <c r="B14" s="2">
        <v>28</v>
      </c>
      <c r="C14" s="2">
        <v>60</v>
      </c>
      <c r="D14" s="2">
        <v>4</v>
      </c>
      <c r="E14" s="5">
        <f t="shared" si="2"/>
        <v>6.655718055555556</v>
      </c>
      <c r="F14" s="4">
        <v>0.019743966593776214</v>
      </c>
      <c r="G14" s="4">
        <v>0.020375626138870166</v>
      </c>
      <c r="H14" s="4">
        <v>0.021134643433782303</v>
      </c>
      <c r="I14" s="5">
        <f>'Dados e resoluções'!$D$78+'Dados e resoluções'!$F$78*((A14/3600)^2)+'Dados e resoluções'!$I$78*F14*((A14/3600)^2)+'Dados e resoluções'!$L$78*G14*((A14/3600)^2)</f>
        <v>34.64712162238713</v>
      </c>
      <c r="J14" s="5">
        <f t="shared" si="1"/>
        <v>74.06266188924266</v>
      </c>
      <c r="K14" s="2">
        <f t="shared" si="0"/>
        <v>56</v>
      </c>
    </row>
    <row r="42" spans="2:9" ht="15">
      <c r="B42" s="1" t="s">
        <v>145</v>
      </c>
      <c r="D42" s="42" t="s">
        <v>147</v>
      </c>
      <c r="E42" s="2">
        <v>-0.0137</v>
      </c>
      <c r="F42" s="1" t="s">
        <v>143</v>
      </c>
      <c r="G42" s="2">
        <v>0.1357</v>
      </c>
      <c r="H42" s="1" t="s">
        <v>146</v>
      </c>
      <c r="I42" s="2">
        <v>36.5</v>
      </c>
    </row>
    <row r="44" spans="2:9" ht="15">
      <c r="B44" s="1" t="s">
        <v>144</v>
      </c>
      <c r="D44" s="42" t="s">
        <v>141</v>
      </c>
      <c r="E44" s="2">
        <v>0.0144</v>
      </c>
      <c r="F44" s="1" t="s">
        <v>143</v>
      </c>
      <c r="G44" s="2">
        <v>0.0181</v>
      </c>
      <c r="H44" s="1" t="s">
        <v>146</v>
      </c>
      <c r="I44" s="2">
        <v>21.2</v>
      </c>
    </row>
    <row r="46" spans="1:8" ht="12.75">
      <c r="A46" s="77" t="s">
        <v>148</v>
      </c>
      <c r="B46" s="77"/>
      <c r="C46" s="77"/>
      <c r="D46" s="77"/>
      <c r="E46" s="77"/>
      <c r="F46" s="77"/>
      <c r="G46" s="77"/>
      <c r="H46" s="77"/>
    </row>
    <row r="48" spans="5:10" ht="12.75">
      <c r="E48" s="2">
        <f>E44-E42</f>
        <v>0.0281</v>
      </c>
      <c r="F48" s="1" t="s">
        <v>143</v>
      </c>
      <c r="G48" s="2">
        <f>G44-G42</f>
        <v>-0.11759999999999998</v>
      </c>
      <c r="H48" s="1" t="s">
        <v>146</v>
      </c>
      <c r="I48" s="2">
        <f>I44-I42</f>
        <v>-15.3</v>
      </c>
      <c r="J48" s="1" t="s">
        <v>149</v>
      </c>
    </row>
    <row r="50" spans="1:2" ht="12.75">
      <c r="A50" s="77" t="s">
        <v>150</v>
      </c>
      <c r="B50" s="77"/>
    </row>
    <row r="51" spans="5:10" ht="12.75">
      <c r="E51" s="1" t="s">
        <v>129</v>
      </c>
      <c r="F51" s="5">
        <f>((-G48)+((G48^2)-4*E48*I48)^0.5)/(2*E48)</f>
        <v>25.520344636481216</v>
      </c>
      <c r="G51" s="1" t="s">
        <v>60</v>
      </c>
      <c r="H51" s="1" t="s">
        <v>61</v>
      </c>
      <c r="I51" s="5">
        <f>F51/3.6</f>
        <v>7.088984621244782</v>
      </c>
      <c r="J51" s="1" t="s">
        <v>62</v>
      </c>
    </row>
    <row r="53" spans="5:10" ht="12.75">
      <c r="E53" s="77" t="s">
        <v>185</v>
      </c>
      <c r="F53" s="77"/>
      <c r="G53" s="77"/>
      <c r="H53" s="77"/>
      <c r="I53" s="77"/>
      <c r="J53" s="77"/>
    </row>
    <row r="55" spans="5:11" ht="15.75">
      <c r="E55" s="42" t="s">
        <v>147</v>
      </c>
      <c r="F55" s="44">
        <f>0.0144*F51^2+0.0181*F51+21.2</f>
        <v>31.04046529917308</v>
      </c>
      <c r="G55" s="1" t="s">
        <v>8</v>
      </c>
      <c r="I55" s="45" t="s">
        <v>151</v>
      </c>
      <c r="J55" s="5">
        <f>-0.0811*F51^2+3.9072*F51+15.736</f>
        <v>62.629634545076115</v>
      </c>
      <c r="K55" s="1" t="s">
        <v>152</v>
      </c>
    </row>
    <row r="57" spans="2:9" ht="15">
      <c r="B57" s="1" t="s">
        <v>145</v>
      </c>
      <c r="D57" s="42" t="s">
        <v>147</v>
      </c>
      <c r="E57" s="2">
        <f>2*-0.0137</f>
        <v>-0.0274</v>
      </c>
      <c r="F57" s="1" t="s">
        <v>143</v>
      </c>
      <c r="G57" s="2">
        <f>2*0.1357</f>
        <v>0.2714</v>
      </c>
      <c r="H57" s="1" t="s">
        <v>146</v>
      </c>
      <c r="I57" s="2">
        <f>2*36.5</f>
        <v>73</v>
      </c>
    </row>
    <row r="59" spans="2:9" ht="15">
      <c r="B59" s="1" t="s">
        <v>144</v>
      </c>
      <c r="D59" s="42" t="s">
        <v>141</v>
      </c>
      <c r="E59" s="2">
        <v>0.0359</v>
      </c>
      <c r="F59" s="1" t="s">
        <v>143</v>
      </c>
      <c r="G59" s="2">
        <v>0.0582</v>
      </c>
      <c r="H59" s="1" t="s">
        <v>146</v>
      </c>
      <c r="I59" s="2">
        <v>40</v>
      </c>
    </row>
    <row r="61" spans="1:8" ht="12.75">
      <c r="A61" s="77" t="s">
        <v>148</v>
      </c>
      <c r="B61" s="77"/>
      <c r="C61" s="77"/>
      <c r="D61" s="77"/>
      <c r="E61" s="77"/>
      <c r="F61" s="77"/>
      <c r="G61" s="77"/>
      <c r="H61" s="77"/>
    </row>
    <row r="63" spans="5:10" ht="12.75">
      <c r="E63" s="2">
        <f>E59-E57</f>
        <v>0.0633</v>
      </c>
      <c r="F63" s="1" t="s">
        <v>143</v>
      </c>
      <c r="G63" s="2">
        <f>G59-G57</f>
        <v>-0.21319999999999997</v>
      </c>
      <c r="H63" s="1" t="s">
        <v>146</v>
      </c>
      <c r="I63" s="2">
        <f>I59-I57</f>
        <v>-33</v>
      </c>
      <c r="J63" s="1" t="s">
        <v>149</v>
      </c>
    </row>
    <row r="65" spans="1:2" ht="12.75">
      <c r="A65" s="77" t="s">
        <v>150</v>
      </c>
      <c r="B65" s="77"/>
    </row>
    <row r="66" spans="5:10" ht="12.75">
      <c r="E66" s="1" t="s">
        <v>129</v>
      </c>
      <c r="F66" s="5">
        <f>((-G63)+((G63^2)-4*E63*I63)^0.5)/(2*E63)</f>
        <v>24.57865100482277</v>
      </c>
      <c r="G66" s="1" t="s">
        <v>60</v>
      </c>
      <c r="H66" s="1" t="s">
        <v>61</v>
      </c>
      <c r="I66" s="5">
        <f>F66/3.6</f>
        <v>6.827403056895214</v>
      </c>
      <c r="J66" s="1" t="s">
        <v>62</v>
      </c>
    </row>
    <row r="69" spans="5:10" ht="12.75">
      <c r="E69" s="77" t="s">
        <v>185</v>
      </c>
      <c r="F69" s="77"/>
      <c r="G69" s="77"/>
      <c r="H69" s="77"/>
      <c r="I69" s="77"/>
      <c r="J69" s="77"/>
    </row>
    <row r="71" spans="5:11" ht="15.75">
      <c r="E71" s="42" t="s">
        <v>147</v>
      </c>
      <c r="F71" s="44">
        <f>E59*F66^2+G59*F66+I59</f>
        <v>63.11802954776651</v>
      </c>
      <c r="G71" s="1" t="s">
        <v>8</v>
      </c>
      <c r="I71" s="45" t="s">
        <v>151</v>
      </c>
      <c r="J71" s="5">
        <f>-0.0811*F66^2+3.9072*F66+15.736</f>
        <v>62.77637729495494</v>
      </c>
      <c r="K71" s="1" t="s">
        <v>152</v>
      </c>
    </row>
  </sheetData>
  <mergeCells count="7">
    <mergeCell ref="A61:H61"/>
    <mergeCell ref="A65:B65"/>
    <mergeCell ref="E69:J69"/>
    <mergeCell ref="A1:G1"/>
    <mergeCell ref="A46:H46"/>
    <mergeCell ref="A50:B50"/>
    <mergeCell ref="E53:J53"/>
  </mergeCells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6"/>
  <sheetViews>
    <sheetView workbookViewId="0" topLeftCell="A1">
      <selection activeCell="B35" sqref="B35"/>
    </sheetView>
  </sheetViews>
  <sheetFormatPr defaultColWidth="9.140625" defaultRowHeight="12.75"/>
  <cols>
    <col min="2" max="2" width="9.57421875" style="0" bestFit="1" customWidth="1"/>
    <col min="5" max="5" width="12.8515625" style="0" customWidth="1"/>
    <col min="9" max="9" width="10.8515625" style="0" customWidth="1"/>
    <col min="13" max="13" width="11.421875" style="0" customWidth="1"/>
  </cols>
  <sheetData>
    <row r="1" spans="1:9" ht="12.75">
      <c r="A1" s="82" t="s">
        <v>6</v>
      </c>
      <c r="B1" s="83"/>
      <c r="C1" s="83"/>
      <c r="D1" s="83"/>
      <c r="E1" s="83"/>
      <c r="F1" s="83"/>
      <c r="G1" s="83"/>
      <c r="H1" s="83"/>
      <c r="I1" s="83"/>
    </row>
    <row r="2" spans="1:9" ht="18.75" customHeight="1">
      <c r="A2" s="83"/>
      <c r="B2" s="83"/>
      <c r="C2" s="83"/>
      <c r="D2" s="83"/>
      <c r="E2" s="83"/>
      <c r="F2" s="83"/>
      <c r="G2" s="83"/>
      <c r="H2" s="83"/>
      <c r="I2" s="83"/>
    </row>
    <row r="3" spans="1:3" ht="12.75">
      <c r="A3" s="6" t="s">
        <v>7</v>
      </c>
      <c r="B3" s="7">
        <v>0.0779</v>
      </c>
      <c r="C3" s="8" t="s">
        <v>8</v>
      </c>
    </row>
    <row r="4" spans="1:5" ht="12.75" customHeight="1">
      <c r="A4" s="9" t="s">
        <v>9</v>
      </c>
      <c r="B4" s="10">
        <f>'Dados e resoluções'!G36/'Dados e resoluções'!C36</f>
        <v>8.926780341023068E-07</v>
      </c>
      <c r="C4" s="8" t="s">
        <v>10</v>
      </c>
      <c r="E4" s="31"/>
    </row>
    <row r="5" spans="1:3" ht="12.75" customHeight="1">
      <c r="A5" s="11" t="s">
        <v>11</v>
      </c>
      <c r="B5" s="10">
        <f>'Dados e resoluções'!C33</f>
        <v>4.6E-05</v>
      </c>
      <c r="C5" s="8" t="s">
        <v>8</v>
      </c>
    </row>
    <row r="6" spans="1:3" ht="12.75" customHeight="1">
      <c r="A6" s="12" t="s">
        <v>12</v>
      </c>
      <c r="B6" s="13">
        <v>7.07</v>
      </c>
      <c r="C6" s="8" t="s">
        <v>13</v>
      </c>
    </row>
    <row r="7" spans="4:32" s="14" customFormat="1" ht="12.75">
      <c r="D7" s="14" t="s">
        <v>14</v>
      </c>
      <c r="H7" s="14" t="s">
        <v>14</v>
      </c>
      <c r="L7" s="14" t="s">
        <v>14</v>
      </c>
      <c r="P7" s="14" t="s">
        <v>14</v>
      </c>
      <c r="T7" s="14" t="s">
        <v>14</v>
      </c>
      <c r="X7" s="14" t="s">
        <v>14</v>
      </c>
      <c r="AB7" s="14" t="s">
        <v>14</v>
      </c>
      <c r="AF7" s="14" t="s">
        <v>14</v>
      </c>
    </row>
    <row r="8" spans="1:32" ht="12.75">
      <c r="A8" s="12" t="s">
        <v>15</v>
      </c>
      <c r="B8" s="12" t="s">
        <v>16</v>
      </c>
      <c r="C8" s="12" t="s">
        <v>17</v>
      </c>
      <c r="D8" s="15" t="s">
        <v>18</v>
      </c>
      <c r="E8" s="12" t="s">
        <v>19</v>
      </c>
      <c r="F8" s="12" t="s">
        <v>20</v>
      </c>
      <c r="G8" s="12" t="s">
        <v>21</v>
      </c>
      <c r="H8" s="15" t="s">
        <v>22</v>
      </c>
      <c r="I8" s="12" t="s">
        <v>23</v>
      </c>
      <c r="J8" s="12" t="s">
        <v>24</v>
      </c>
      <c r="K8" s="12" t="s">
        <v>25</v>
      </c>
      <c r="L8" s="15" t="s">
        <v>26</v>
      </c>
      <c r="M8" s="12" t="s">
        <v>27</v>
      </c>
      <c r="N8" s="12" t="s">
        <v>28</v>
      </c>
      <c r="O8" s="12" t="s">
        <v>29</v>
      </c>
      <c r="P8" s="15" t="s">
        <v>30</v>
      </c>
      <c r="Q8" s="12" t="s">
        <v>31</v>
      </c>
      <c r="R8" s="12" t="s">
        <v>32</v>
      </c>
      <c r="S8" s="12" t="s">
        <v>33</v>
      </c>
      <c r="T8" s="15" t="s">
        <v>34</v>
      </c>
      <c r="U8" s="12" t="s">
        <v>35</v>
      </c>
      <c r="V8" s="12" t="s">
        <v>36</v>
      </c>
      <c r="W8" s="12" t="s">
        <v>37</v>
      </c>
      <c r="X8" s="15" t="s">
        <v>38</v>
      </c>
      <c r="Y8" s="12" t="s">
        <v>39</v>
      </c>
      <c r="Z8" s="12" t="s">
        <v>40</v>
      </c>
      <c r="AA8" s="12" t="s">
        <v>41</v>
      </c>
      <c r="AB8" s="15" t="s">
        <v>42</v>
      </c>
      <c r="AC8" s="12" t="s">
        <v>43</v>
      </c>
      <c r="AD8" s="12" t="s">
        <v>44</v>
      </c>
      <c r="AE8" s="12" t="s">
        <v>45</v>
      </c>
      <c r="AF8" s="15" t="s">
        <v>46</v>
      </c>
    </row>
    <row r="9" spans="1:32" ht="12.75">
      <c r="A9" s="12">
        <v>1</v>
      </c>
      <c r="B9" s="10">
        <f>D24/1000</f>
        <v>0.0016666666666666666</v>
      </c>
      <c r="C9" s="10">
        <f>(4*B9)/(3.14*$B$3*$B$4)</f>
        <v>30531.40476524489</v>
      </c>
      <c r="D9" s="16">
        <f>IF(C9&lt;=2000,64/C9,0)</f>
        <v>0</v>
      </c>
      <c r="E9" s="10">
        <f>IF($C9&gt;=2000,LOG(((0.27*$B$5)/($B$3))+((2.51*3.14*$B$3*$B$4*$B$6)/(4*$B9))),0)</f>
        <v>-3.1303793892295517</v>
      </c>
      <c r="F9" s="13">
        <f>$B$6-(($B$6+2*$E9)/(1+(5.02)/((((0.27*4*$B$5*$B9)/(3.14*$B$3^2*$B$4))+(2.51*$B$6))*2.302)))</f>
        <v>6.3319336071919885</v>
      </c>
      <c r="G9" s="13">
        <f>($B$6-F9)</f>
        <v>0.7380663928080118</v>
      </c>
      <c r="H9" s="17">
        <f>IF(AND(G9&gt;=-0.0001,G9&lt;=0.0001),1/F9^2,0)</f>
        <v>0</v>
      </c>
      <c r="I9" s="10">
        <f>IF(AND(H9=0,E9&lt;&gt;0),LOG(((0.27*$B$5)/($B$3))+((2.51*3.14*$B$3*$B$4*F9)/(4*$B9))),0)</f>
        <v>-3.1674999165516473</v>
      </c>
      <c r="J9" s="13">
        <f>F9-((F9+2*I9)/(1+(5.02)/((((0.27*4*$B$5*$B9)/(3.14*$B$3^2*$B$4))+(2.51*F9))*2.302)))</f>
        <v>6.334708373760768</v>
      </c>
      <c r="K9" s="13">
        <f>F9-J9</f>
        <v>-0.0027747665687796186</v>
      </c>
      <c r="L9" s="17">
        <f>IF(AND(K9&gt;=-0.0001,K9&lt;0),1/J9^2,0)</f>
        <v>0</v>
      </c>
      <c r="M9" s="10">
        <f>IF(AND(L9=0,I9&lt;&gt;0),LOG(((0.27*$B$5)/($B$3))+((2.51*3.14*$B$3*$B$4*J9)/(4*$B9))),0)</f>
        <v>-3.16735424834295</v>
      </c>
      <c r="N9" s="13">
        <f>J9-((J9+2*M9)/(1+(5.02)/((((0.27*4*$B$5*$B9)/(3.14*$B$3^2*$B$4))+(2.51*J9))*2.302)))</f>
        <v>6.334708485004828</v>
      </c>
      <c r="O9" s="13">
        <f>J9-N9</f>
        <v>-1.1124406018581112E-07</v>
      </c>
      <c r="P9" s="17">
        <f>IF(AND(O9&gt;=-0.0001,O9&lt;0),1/N9^2,0)</f>
        <v>0.02491992506023805</v>
      </c>
      <c r="Q9" s="10">
        <f>IF(AND(P9=0,M9&lt;&gt;0),LOG(((0.27*$B$5)/($B$3))+((2.51*3.14*$B$3*$B$4*N9)/(4*$B9))),0)</f>
        <v>0</v>
      </c>
      <c r="R9" s="13">
        <f>IF(P9=0,N9-((N9+2*Q9)/(1+(5.02)/((((0.27*4*$B$5*$B9)/(3.14*$B$3^2*$B$4))+(2.51*N9))*2.302))),0)</f>
        <v>0</v>
      </c>
      <c r="S9" s="13">
        <f>N9-R9</f>
        <v>6.334708485004828</v>
      </c>
      <c r="T9" s="17">
        <f>IF(AND(S9&gt;=-0.0001,S9&lt;0),1/R9^2,0)</f>
        <v>0</v>
      </c>
      <c r="U9" s="10">
        <f>IF(AND(T9=0,Q9&lt;&gt;0),LOG(((0.27*$B$5)/($B$3))+((2.51*3.14*$B$3*$B$4*R9)/(4*$B9))),0)</f>
        <v>0</v>
      </c>
      <c r="V9" s="13">
        <f>R9-((R9+2*U9)/(1+(5.02)/((((0.27*4*$B$5*$B9)/(3.14*$B$3^2*$B$4))+(2.51*R9))*2.302)))</f>
        <v>0</v>
      </c>
      <c r="W9" s="13">
        <f>R9-V9</f>
        <v>0</v>
      </c>
      <c r="X9" s="17">
        <f>IF(AND(W9&gt;=-0.0001,W9&lt;0),1/V9^2,0)</f>
        <v>0</v>
      </c>
      <c r="Y9" s="10">
        <f>IF(AND(X9=0,U9&lt;&gt;0),LOG(((0.27*$B$5)/($B$3))+((2.51*3.14*$B$3*$B$4*V9)/(4*$B9))),0)</f>
        <v>0</v>
      </c>
      <c r="Z9" s="13">
        <f>V9-((V9+2*Y9)/(1+(5.02)/((((0.27*4*$B$5*$B9)/(3.14*$B$3^2*$B$4))+(2.51*V9))*2.302)))</f>
        <v>0</v>
      </c>
      <c r="AA9" s="13">
        <f>V9-Z9</f>
        <v>0</v>
      </c>
      <c r="AB9" s="17">
        <f>IF(AND(AA9&gt;=-0.0001,AA9&lt;0),1/Z9^2,0)</f>
        <v>0</v>
      </c>
      <c r="AC9" s="10">
        <f>IF(AND(AB9=0,Y9&lt;&gt;0),LOG(((0.27*$B$5)/($B$3))+((2.51*3.14*$B$3*$B$4*Z9)/(4*$B9))),0)</f>
        <v>0</v>
      </c>
      <c r="AD9" s="13">
        <f>Z9-((Z9+2*AC9)/(1+(5.02)/((((0.27*4*$B$5*$B9)/(3.14*$B$3^2*$B$4))+(2.51*Z9))*2.302)))</f>
        <v>0</v>
      </c>
      <c r="AE9" s="13">
        <f>Z9-AD9</f>
        <v>0</v>
      </c>
      <c r="AF9" s="17">
        <f>IF(AND(AE9&gt;=-0.0001,AE9&lt;0),1/AD9^2,0)</f>
        <v>0</v>
      </c>
    </row>
    <row r="10" spans="1:32" ht="12.75">
      <c r="A10" s="12">
        <v>2</v>
      </c>
      <c r="B10" s="10">
        <f aca="true" t="shared" si="0" ref="B10:B21">D25/1000</f>
        <v>0.0022222222222222222</v>
      </c>
      <c r="C10" s="10">
        <f aca="true" t="shared" si="1" ref="C10:C21">(4*B10)/(3.14*$B$3*$B$4)</f>
        <v>40708.53968699319</v>
      </c>
      <c r="D10" s="16">
        <f aca="true" t="shared" si="2" ref="D10:D21">IF(C10&lt;=2000,64/C10,0)</f>
        <v>0</v>
      </c>
      <c r="E10" s="10">
        <f aca="true" t="shared" si="3" ref="E10:E21">IF($C10&gt;=2000,LOG(((0.27*$B$5)/($B$3))+((2.51*3.14*$B$3*$B$4*$B$6)/(4*$B10))),0)</f>
        <v>-3.2252232701060994</v>
      </c>
      <c r="F10" s="13">
        <f aca="true" t="shared" si="4" ref="F10:F21">$B$6-(($B$6+2*$E10)/(1+(5.02)/((((0.27*4*$B$5*$B10)/(3.14*$B$3^2*$B$4))+(2.51*$B$6))*2.302)))</f>
        <v>6.501590837344333</v>
      </c>
      <c r="G10" s="13">
        <f aca="true" t="shared" si="5" ref="G10:G21">($B$6-F10)</f>
        <v>0.5684091626556675</v>
      </c>
      <c r="H10" s="17">
        <f aca="true" t="shared" si="6" ref="H10:H21">IF(AND(G10&gt;=-0.0001,G10&lt;=0.0001),1/F10^2,0)</f>
        <v>0</v>
      </c>
      <c r="I10" s="10">
        <f aca="true" t="shared" si="7" ref="I10:I21">IF(AND(H10=0,E10&lt;&gt;0),LOG(((0.27*$B$5)/($B$3))+((2.51*3.14*$B$3*$B$4*F10)/(4*$B10))),0)</f>
        <v>-3.251572307953154</v>
      </c>
      <c r="J10" s="13">
        <f aca="true" t="shared" si="8" ref="J10:J21">F10-((F10+2*I10)/(1+(5.02)/((((0.27*4*$B$5*$B10)/(3.14*$B$3^2*$B$4))+(2.51*F10))*2.302)))</f>
        <v>6.503009028328483</v>
      </c>
      <c r="K10" s="13">
        <f aca="true" t="shared" si="9" ref="K10:K21">F10-J10</f>
        <v>-0.0014181909841504137</v>
      </c>
      <c r="L10" s="17">
        <f aca="true" t="shared" si="10" ref="L10:L21">IF(AND(K10&gt;=-0.0001,K10&lt;0),1/J10^2,0)</f>
        <v>0</v>
      </c>
      <c r="M10" s="10">
        <f aca="true" t="shared" si="11" ref="M10:M21">IF(AND(L10=0,I10&lt;&gt;0),LOG(((0.27*$B$5)/($B$3))+((2.51*3.14*$B$3*$B$4*J10)/(4*$B10))),0)</f>
        <v>-3.2515045366789224</v>
      </c>
      <c r="N10" s="13">
        <f aca="true" t="shared" si="12" ref="N10:N21">J10-((J10+2*M10)/(1+(5.02)/((((0.27*4*$B$5*$B10)/(3.14*$B$3^2*$B$4))+(2.51*J10))*2.302)))</f>
        <v>6.503009069429002</v>
      </c>
      <c r="O10" s="13">
        <f aca="true" t="shared" si="13" ref="O10:O21">J10-N10</f>
        <v>-4.1100518544112674E-08</v>
      </c>
      <c r="P10" s="17">
        <f aca="true" t="shared" si="14" ref="P10:P21">IF(AND(O10&gt;=-0.0001,O10&lt;0),1/N10^2,0)</f>
        <v>0.023646740236917548</v>
      </c>
      <c r="Q10" s="10">
        <f aca="true" t="shared" si="15" ref="Q10:Q21">IF(AND(P10=0,M10&lt;&gt;0),LOG(((0.27*$B$5)/($B$3))+((2.51*3.14*$B$3*$B$4*N10)/(4*$B10))),0)</f>
        <v>0</v>
      </c>
      <c r="R10" s="13">
        <f aca="true" t="shared" si="16" ref="R10:R21">IF(P10=0,N10-((N10+2*Q10)/(1+(5.02)/((((0.27*4*$B$5*$B10)/(3.14*$B$3^2*$B$4))+(2.51*N10))*2.302))),0)</f>
        <v>0</v>
      </c>
      <c r="S10" s="13">
        <f aca="true" t="shared" si="17" ref="S10:S21">N10-R10</f>
        <v>6.503009069429002</v>
      </c>
      <c r="T10" s="17">
        <f aca="true" t="shared" si="18" ref="T10:T21">IF(AND(S10&gt;=-0.0001,S10&lt;0),1/R10^2,0)</f>
        <v>0</v>
      </c>
      <c r="U10" s="10">
        <f aca="true" t="shared" si="19" ref="U10:U21">IF(AND(T10=0,Q10&lt;&gt;0),LOG(((0.27*$B$5)/($B$3))+((2.51*3.14*$B$3*$B$4*R10)/(4*$B10))),0)</f>
        <v>0</v>
      </c>
      <c r="V10" s="13">
        <f aca="true" t="shared" si="20" ref="V10:V21">R10-((R10+2*U10)/(1+(5.02)/((((0.27*4*$B$5*$B10)/(3.14*$B$3^2*$B$4))+(2.51*R10))*2.302)))</f>
        <v>0</v>
      </c>
      <c r="W10" s="13">
        <f aca="true" t="shared" si="21" ref="W10:W21">R10-V10</f>
        <v>0</v>
      </c>
      <c r="X10" s="17">
        <f aca="true" t="shared" si="22" ref="X10:X21">IF(AND(W10&gt;=-0.0001,W10&lt;0),1/V10^2,0)</f>
        <v>0</v>
      </c>
      <c r="Y10" s="10">
        <f aca="true" t="shared" si="23" ref="Y10:Y21">IF(AND(X10=0,U10&lt;&gt;0),LOG(((0.27*$B$5)/($B$3))+((2.51*3.14*$B$3*$B$4*V10)/(4*$B10))),0)</f>
        <v>0</v>
      </c>
      <c r="Z10" s="13">
        <f aca="true" t="shared" si="24" ref="Z10:Z21">V10-((V10+2*Y10)/(1+(5.02)/((((0.27*4*$B$5*$B10)/(3.14*$B$3^2*$B$4))+(2.51*V10))*2.302)))</f>
        <v>0</v>
      </c>
      <c r="AA10" s="13">
        <f aca="true" t="shared" si="25" ref="AA10:AA21">V10-Z10</f>
        <v>0</v>
      </c>
      <c r="AB10" s="17">
        <f aca="true" t="shared" si="26" ref="AB10:AB21">IF(AND(AA10&gt;=-0.0001,AA10&lt;0),1/Z10^2,0)</f>
        <v>0</v>
      </c>
      <c r="AC10" s="10">
        <f aca="true" t="shared" si="27" ref="AC10:AC21">IF(AND(AB10=0,Y10&lt;&gt;0),LOG(((0.27*$B$5)/($B$3))+((2.51*3.14*$B$3*$B$4*Z10)/(4*$B10))),0)</f>
        <v>0</v>
      </c>
      <c r="AD10" s="13">
        <f aca="true" t="shared" si="28" ref="AD10:AD21">Z10-((Z10+2*AC10)/(1+(5.02)/((((0.27*4*$B$5*$B10)/(3.14*$B$3^2*$B$4))+(2.51*Z10))*2.302)))</f>
        <v>0</v>
      </c>
      <c r="AE10" s="13">
        <f aca="true" t="shared" si="29" ref="AE10:AE21">Z10-AD10</f>
        <v>0</v>
      </c>
      <c r="AF10" s="17">
        <f aca="true" t="shared" si="30" ref="AF10:AF21">IF(AND(AE10&gt;=-0.0001,AE10&lt;0),1/AD10^2,0)</f>
        <v>0</v>
      </c>
    </row>
    <row r="11" spans="1:32" ht="12.75">
      <c r="A11" s="12">
        <v>3</v>
      </c>
      <c r="B11" s="10">
        <f t="shared" si="0"/>
        <v>0.002777777777777778</v>
      </c>
      <c r="C11" s="10">
        <f t="shared" si="1"/>
        <v>50885.67460874149</v>
      </c>
      <c r="D11" s="16">
        <f t="shared" si="2"/>
        <v>0</v>
      </c>
      <c r="E11" s="10">
        <f t="shared" si="3"/>
        <v>-3.293989413922865</v>
      </c>
      <c r="F11" s="13">
        <f t="shared" si="4"/>
        <v>6.625467160494706</v>
      </c>
      <c r="G11" s="13">
        <f t="shared" si="5"/>
        <v>0.4445328395052943</v>
      </c>
      <c r="H11" s="17">
        <f t="shared" si="6"/>
        <v>0</v>
      </c>
      <c r="I11" s="10">
        <f t="shared" si="7"/>
        <v>-3.3131451310080546</v>
      </c>
      <c r="J11" s="13">
        <f t="shared" si="8"/>
        <v>6.626223593828194</v>
      </c>
      <c r="K11" s="13">
        <f t="shared" si="9"/>
        <v>-0.0007564333334881823</v>
      </c>
      <c r="L11" s="17">
        <f t="shared" si="10"/>
        <v>0</v>
      </c>
      <c r="M11" s="10">
        <f t="shared" si="11"/>
        <v>-3.3131118066629357</v>
      </c>
      <c r="N11" s="13">
        <f t="shared" si="12"/>
        <v>6.626223611746743</v>
      </c>
      <c r="O11" s="13">
        <f t="shared" si="13"/>
        <v>-1.791854842281282E-08</v>
      </c>
      <c r="P11" s="17">
        <f t="shared" si="14"/>
        <v>0.02277549499664984</v>
      </c>
      <c r="Q11" s="10">
        <f t="shared" si="15"/>
        <v>0</v>
      </c>
      <c r="R11" s="13">
        <f t="shared" si="16"/>
        <v>0</v>
      </c>
      <c r="S11" s="13">
        <f t="shared" si="17"/>
        <v>6.626223611746743</v>
      </c>
      <c r="T11" s="17">
        <f t="shared" si="18"/>
        <v>0</v>
      </c>
      <c r="U11" s="10">
        <f t="shared" si="19"/>
        <v>0</v>
      </c>
      <c r="V11" s="13">
        <f t="shared" si="20"/>
        <v>0</v>
      </c>
      <c r="W11" s="13">
        <f t="shared" si="21"/>
        <v>0</v>
      </c>
      <c r="X11" s="17">
        <f t="shared" si="22"/>
        <v>0</v>
      </c>
      <c r="Y11" s="10">
        <f t="shared" si="23"/>
        <v>0</v>
      </c>
      <c r="Z11" s="13">
        <f t="shared" si="24"/>
        <v>0</v>
      </c>
      <c r="AA11" s="13">
        <f t="shared" si="25"/>
        <v>0</v>
      </c>
      <c r="AB11" s="17">
        <f t="shared" si="26"/>
        <v>0</v>
      </c>
      <c r="AC11" s="10">
        <f t="shared" si="27"/>
        <v>0</v>
      </c>
      <c r="AD11" s="13">
        <f t="shared" si="28"/>
        <v>0</v>
      </c>
      <c r="AE11" s="13">
        <f t="shared" si="29"/>
        <v>0</v>
      </c>
      <c r="AF11" s="17">
        <f t="shared" si="30"/>
        <v>0</v>
      </c>
    </row>
    <row r="12" spans="1:32" ht="12.75">
      <c r="A12" s="12">
        <v>4</v>
      </c>
      <c r="B12" s="10">
        <f t="shared" si="0"/>
        <v>0.004166666666666667</v>
      </c>
      <c r="C12" s="10">
        <f t="shared" si="1"/>
        <v>76328.51191311222</v>
      </c>
      <c r="D12" s="16">
        <f t="shared" si="2"/>
        <v>0</v>
      </c>
      <c r="E12" s="10">
        <f t="shared" si="3"/>
        <v>-3.4067956176249803</v>
      </c>
      <c r="F12" s="13">
        <f t="shared" si="4"/>
        <v>6.831012601898553</v>
      </c>
      <c r="G12" s="13">
        <f t="shared" si="5"/>
        <v>0.23898739810144765</v>
      </c>
      <c r="H12" s="17">
        <f t="shared" si="6"/>
        <v>0</v>
      </c>
      <c r="I12" s="10">
        <f t="shared" si="7"/>
        <v>-3.4155925836441674</v>
      </c>
      <c r="J12" s="13">
        <f t="shared" si="8"/>
        <v>6.831173219249006</v>
      </c>
      <c r="K12" s="13">
        <f t="shared" si="9"/>
        <v>-0.0001606173504535846</v>
      </c>
      <c r="L12" s="17">
        <f t="shared" si="10"/>
        <v>0</v>
      </c>
      <c r="M12" s="10">
        <f t="shared" si="11"/>
        <v>-3.415586611183585</v>
      </c>
      <c r="N12" s="13">
        <f t="shared" si="12"/>
        <v>6.8311732221512775</v>
      </c>
      <c r="O12" s="13">
        <f t="shared" si="13"/>
        <v>-2.902271312166249E-09</v>
      </c>
      <c r="P12" s="17">
        <f t="shared" si="14"/>
        <v>0.021429370013467643</v>
      </c>
      <c r="Q12" s="10">
        <f t="shared" si="15"/>
        <v>0</v>
      </c>
      <c r="R12" s="13">
        <f t="shared" si="16"/>
        <v>0</v>
      </c>
      <c r="S12" s="13">
        <f t="shared" si="17"/>
        <v>6.8311732221512775</v>
      </c>
      <c r="T12" s="17">
        <f t="shared" si="18"/>
        <v>0</v>
      </c>
      <c r="U12" s="10">
        <f t="shared" si="19"/>
        <v>0</v>
      </c>
      <c r="V12" s="13">
        <f t="shared" si="20"/>
        <v>0</v>
      </c>
      <c r="W12" s="13">
        <f t="shared" si="21"/>
        <v>0</v>
      </c>
      <c r="X12" s="17">
        <f t="shared" si="22"/>
        <v>0</v>
      </c>
      <c r="Y12" s="10">
        <f t="shared" si="23"/>
        <v>0</v>
      </c>
      <c r="Z12" s="13">
        <f t="shared" si="24"/>
        <v>0</v>
      </c>
      <c r="AA12" s="13">
        <f t="shared" si="25"/>
        <v>0</v>
      </c>
      <c r="AB12" s="17">
        <f t="shared" si="26"/>
        <v>0</v>
      </c>
      <c r="AC12" s="10">
        <f t="shared" si="27"/>
        <v>0</v>
      </c>
      <c r="AD12" s="13">
        <f t="shared" si="28"/>
        <v>0</v>
      </c>
      <c r="AE12" s="13">
        <f t="shared" si="29"/>
        <v>0</v>
      </c>
      <c r="AF12" s="17">
        <f t="shared" si="30"/>
        <v>0</v>
      </c>
    </row>
    <row r="13" spans="1:32" ht="12.75">
      <c r="A13" s="12">
        <v>5</v>
      </c>
      <c r="B13" s="10">
        <f t="shared" si="0"/>
        <v>0.005555555555555556</v>
      </c>
      <c r="C13" s="10">
        <f t="shared" si="1"/>
        <v>101771.34921748297</v>
      </c>
      <c r="D13" s="16">
        <f t="shared" si="2"/>
        <v>0</v>
      </c>
      <c r="E13" s="10">
        <f t="shared" si="3"/>
        <v>-3.4765091122909384</v>
      </c>
      <c r="F13" s="13">
        <f t="shared" si="4"/>
        <v>6.96007457487293</v>
      </c>
      <c r="G13" s="13">
        <f t="shared" si="5"/>
        <v>0.10992542512707004</v>
      </c>
      <c r="H13" s="17">
        <f t="shared" si="6"/>
        <v>0</v>
      </c>
      <c r="I13" s="10">
        <f t="shared" si="7"/>
        <v>-3.480050792981971</v>
      </c>
      <c r="J13" s="13">
        <f t="shared" si="8"/>
        <v>6.960099944122266</v>
      </c>
      <c r="K13" s="13">
        <f t="shared" si="9"/>
        <v>-2.5369249335938093E-05</v>
      </c>
      <c r="L13" s="17">
        <f t="shared" si="10"/>
        <v>0.02064282106790929</v>
      </c>
      <c r="M13" s="10">
        <f t="shared" si="11"/>
        <v>0</v>
      </c>
      <c r="N13" s="13">
        <f t="shared" si="12"/>
        <v>0.4230618404716635</v>
      </c>
      <c r="O13" s="13">
        <f t="shared" si="13"/>
        <v>6.537038103650603</v>
      </c>
      <c r="P13" s="17">
        <f t="shared" si="14"/>
        <v>0</v>
      </c>
      <c r="Q13" s="10">
        <f t="shared" si="15"/>
        <v>0</v>
      </c>
      <c r="R13" s="13">
        <f t="shared" si="16"/>
        <v>0.04738807682844948</v>
      </c>
      <c r="S13" s="13">
        <f t="shared" si="17"/>
        <v>0.37567376364321403</v>
      </c>
      <c r="T13" s="17">
        <f t="shared" si="18"/>
        <v>0</v>
      </c>
      <c r="U13" s="10">
        <f t="shared" si="19"/>
        <v>0</v>
      </c>
      <c r="V13" s="13">
        <f t="shared" si="20"/>
        <v>0.005578217609916759</v>
      </c>
      <c r="W13" s="13">
        <f t="shared" si="21"/>
        <v>0.04180985921853272</v>
      </c>
      <c r="X13" s="17">
        <f t="shared" si="22"/>
        <v>0</v>
      </c>
      <c r="Y13" s="10">
        <f t="shared" si="23"/>
        <v>0</v>
      </c>
      <c r="Z13" s="13">
        <f t="shared" si="24"/>
        <v>0.0006603725053254067</v>
      </c>
      <c r="AA13" s="13">
        <f t="shared" si="25"/>
        <v>0.004917845104591353</v>
      </c>
      <c r="AB13" s="17">
        <f t="shared" si="26"/>
        <v>0</v>
      </c>
      <c r="AC13" s="10">
        <f t="shared" si="27"/>
        <v>0</v>
      </c>
      <c r="AD13" s="13">
        <f t="shared" si="28"/>
        <v>7.823005485869115E-05</v>
      </c>
      <c r="AE13" s="13">
        <f t="shared" si="29"/>
        <v>0.0005821424504667156</v>
      </c>
      <c r="AF13" s="17">
        <f t="shared" si="30"/>
        <v>0</v>
      </c>
    </row>
    <row r="14" spans="1:32" ht="12.75">
      <c r="A14" s="12">
        <v>6</v>
      </c>
      <c r="B14" s="10">
        <f t="shared" si="0"/>
        <v>0.0061111111111111106</v>
      </c>
      <c r="C14" s="10">
        <f t="shared" si="1"/>
        <v>111948.48413923125</v>
      </c>
      <c r="D14" s="16">
        <f t="shared" si="2"/>
        <v>0</v>
      </c>
      <c r="E14" s="10">
        <f t="shared" si="3"/>
        <v>-3.4976386640794965</v>
      </c>
      <c r="F14" s="13">
        <f t="shared" si="4"/>
        <v>6.999590999226834</v>
      </c>
      <c r="G14" s="13">
        <f t="shared" si="5"/>
        <v>0.07040900077316614</v>
      </c>
      <c r="H14" s="17">
        <f t="shared" si="6"/>
        <v>0</v>
      </c>
      <c r="I14" s="10">
        <f t="shared" si="7"/>
        <v>-3.4998003223624705</v>
      </c>
      <c r="J14" s="13">
        <f t="shared" si="8"/>
        <v>6.9996000852819105</v>
      </c>
      <c r="K14" s="13">
        <f t="shared" si="9"/>
        <v>-9.086055076323873E-06</v>
      </c>
      <c r="L14" s="17">
        <f t="shared" si="10"/>
        <v>0.020410495329398228</v>
      </c>
      <c r="M14" s="10">
        <f t="shared" si="11"/>
        <v>0</v>
      </c>
      <c r="N14" s="13">
        <f t="shared" si="12"/>
        <v>0.405979563356337</v>
      </c>
      <c r="O14" s="13">
        <f t="shared" si="13"/>
        <v>6.5936205219255735</v>
      </c>
      <c r="P14" s="17">
        <f t="shared" si="14"/>
        <v>0</v>
      </c>
      <c r="Q14" s="10">
        <f t="shared" si="15"/>
        <v>0</v>
      </c>
      <c r="R14" s="13">
        <f t="shared" si="16"/>
        <v>0.042061682077354</v>
      </c>
      <c r="S14" s="13">
        <f t="shared" si="17"/>
        <v>0.363917881278983</v>
      </c>
      <c r="T14" s="17">
        <f t="shared" si="18"/>
        <v>0</v>
      </c>
      <c r="U14" s="10">
        <f t="shared" si="19"/>
        <v>0</v>
      </c>
      <c r="V14" s="13">
        <f t="shared" si="20"/>
        <v>0.004555514456415832</v>
      </c>
      <c r="W14" s="13">
        <f t="shared" si="21"/>
        <v>0.03750616762093817</v>
      </c>
      <c r="X14" s="17">
        <f t="shared" si="22"/>
        <v>0</v>
      </c>
      <c r="Y14" s="10">
        <f t="shared" si="23"/>
        <v>0</v>
      </c>
      <c r="Z14" s="13">
        <f t="shared" si="24"/>
        <v>0.0004957052642042157</v>
      </c>
      <c r="AA14" s="13">
        <f t="shared" si="25"/>
        <v>0.004059809192211617</v>
      </c>
      <c r="AB14" s="17">
        <f t="shared" si="26"/>
        <v>0</v>
      </c>
      <c r="AC14" s="10">
        <f t="shared" si="27"/>
        <v>0</v>
      </c>
      <c r="AD14" s="13">
        <f t="shared" si="28"/>
        <v>5.3967278229897163E-05</v>
      </c>
      <c r="AE14" s="13">
        <f t="shared" si="29"/>
        <v>0.00044173798597431856</v>
      </c>
      <c r="AF14" s="17">
        <f t="shared" si="30"/>
        <v>0</v>
      </c>
    </row>
    <row r="15" spans="1:32" ht="12.75">
      <c r="A15" s="12">
        <v>7</v>
      </c>
      <c r="B15" s="10">
        <f t="shared" si="0"/>
        <v>0.006666666666666666</v>
      </c>
      <c r="C15" s="10">
        <f t="shared" si="1"/>
        <v>122125.61906097956</v>
      </c>
      <c r="D15" s="16">
        <f t="shared" si="2"/>
        <v>0</v>
      </c>
      <c r="E15" s="10">
        <f t="shared" si="3"/>
        <v>-3.5160675250855475</v>
      </c>
      <c r="F15" s="13">
        <f t="shared" si="4"/>
        <v>7.034230931893612</v>
      </c>
      <c r="G15" s="13">
        <f t="shared" si="5"/>
        <v>0.035769068106388247</v>
      </c>
      <c r="H15" s="17">
        <f t="shared" si="6"/>
        <v>0</v>
      </c>
      <c r="I15" s="10">
        <f t="shared" si="7"/>
        <v>-3.5171164653822875</v>
      </c>
      <c r="J15" s="13">
        <f t="shared" si="8"/>
        <v>7.034232819871365</v>
      </c>
      <c r="K15" s="13">
        <f t="shared" si="9"/>
        <v>-1.887977752801362E-06</v>
      </c>
      <c r="L15" s="17">
        <f t="shared" si="10"/>
        <v>0.020210009743860453</v>
      </c>
      <c r="M15" s="10">
        <f t="shared" si="11"/>
        <v>0</v>
      </c>
      <c r="N15" s="13">
        <f t="shared" si="12"/>
        <v>0.39024458398019224</v>
      </c>
      <c r="O15" s="13">
        <f t="shared" si="13"/>
        <v>6.643988235891173</v>
      </c>
      <c r="P15" s="17">
        <f t="shared" si="14"/>
        <v>0</v>
      </c>
      <c r="Q15" s="10">
        <f t="shared" si="15"/>
        <v>0</v>
      </c>
      <c r="R15" s="13">
        <f t="shared" si="16"/>
        <v>0.037603208792023834</v>
      </c>
      <c r="S15" s="13">
        <f t="shared" si="17"/>
        <v>0.3526413751881684</v>
      </c>
      <c r="T15" s="17">
        <f t="shared" si="18"/>
        <v>0</v>
      </c>
      <c r="U15" s="10">
        <f t="shared" si="19"/>
        <v>0</v>
      </c>
      <c r="V15" s="13">
        <f t="shared" si="20"/>
        <v>0.003770853083602657</v>
      </c>
      <c r="W15" s="13">
        <f t="shared" si="21"/>
        <v>0.03383235570842118</v>
      </c>
      <c r="X15" s="17">
        <f t="shared" si="22"/>
        <v>0</v>
      </c>
      <c r="Y15" s="10">
        <f t="shared" si="23"/>
        <v>0</v>
      </c>
      <c r="Z15" s="13">
        <f t="shared" si="24"/>
        <v>0.00037962391432649857</v>
      </c>
      <c r="AA15" s="13">
        <f t="shared" si="25"/>
        <v>0.0033912291692761586</v>
      </c>
      <c r="AB15" s="17">
        <f t="shared" si="26"/>
        <v>0</v>
      </c>
      <c r="AC15" s="10">
        <f t="shared" si="27"/>
        <v>0</v>
      </c>
      <c r="AD15" s="13">
        <f t="shared" si="28"/>
        <v>3.823298503134097E-05</v>
      </c>
      <c r="AE15" s="13">
        <f t="shared" si="29"/>
        <v>0.0003413909292951576</v>
      </c>
      <c r="AF15" s="17">
        <f t="shared" si="30"/>
        <v>0</v>
      </c>
    </row>
    <row r="16" spans="1:32" ht="12.75">
      <c r="A16" s="12">
        <v>8</v>
      </c>
      <c r="B16" s="10">
        <f t="shared" si="0"/>
        <v>0.007222222222222222</v>
      </c>
      <c r="C16" s="10">
        <f t="shared" si="1"/>
        <v>132302.75398272785</v>
      </c>
      <c r="D16" s="16">
        <f t="shared" si="2"/>
        <v>0</v>
      </c>
      <c r="E16" s="10">
        <f t="shared" si="3"/>
        <v>-3.532296232370685</v>
      </c>
      <c r="F16" s="13">
        <f t="shared" si="4"/>
        <v>7.064879940202276</v>
      </c>
      <c r="G16" s="13">
        <f t="shared" si="5"/>
        <v>0.005120059797723897</v>
      </c>
      <c r="H16" s="17">
        <f t="shared" si="6"/>
        <v>0</v>
      </c>
      <c r="I16" s="10">
        <f t="shared" si="7"/>
        <v>-3.5324399573564778</v>
      </c>
      <c r="J16" s="13">
        <f t="shared" si="8"/>
        <v>7.064879916068444</v>
      </c>
      <c r="K16" s="13">
        <f t="shared" si="9"/>
        <v>2.413383271004932E-08</v>
      </c>
      <c r="L16" s="17">
        <f t="shared" si="10"/>
        <v>0</v>
      </c>
      <c r="M16" s="10">
        <f t="shared" si="11"/>
        <v>-3.53243995803405</v>
      </c>
      <c r="N16" s="13">
        <f t="shared" si="12"/>
        <v>7.064879916068119</v>
      </c>
      <c r="O16" s="13">
        <f t="shared" si="13"/>
        <v>3.2507330161024584E-13</v>
      </c>
      <c r="P16" s="17">
        <f t="shared" si="14"/>
        <v>0</v>
      </c>
      <c r="Q16" s="10">
        <f t="shared" si="15"/>
        <v>-3.532439958034059</v>
      </c>
      <c r="R16" s="13">
        <f t="shared" si="16"/>
        <v>7.064879916068118</v>
      </c>
      <c r="S16" s="13">
        <f t="shared" si="17"/>
        <v>0</v>
      </c>
      <c r="T16" s="17">
        <f t="shared" si="18"/>
        <v>0</v>
      </c>
      <c r="U16" s="10">
        <f t="shared" si="19"/>
        <v>-3.532439958034059</v>
      </c>
      <c r="V16" s="13">
        <f t="shared" si="20"/>
        <v>7.064879916068118</v>
      </c>
      <c r="W16" s="13">
        <f t="shared" si="21"/>
        <v>0</v>
      </c>
      <c r="X16" s="17">
        <f t="shared" si="22"/>
        <v>0</v>
      </c>
      <c r="Y16" s="10">
        <f t="shared" si="23"/>
        <v>-3.532439958034059</v>
      </c>
      <c r="Z16" s="13">
        <f t="shared" si="24"/>
        <v>7.064879916068118</v>
      </c>
      <c r="AA16" s="13">
        <f t="shared" si="25"/>
        <v>0</v>
      </c>
      <c r="AB16" s="17">
        <f t="shared" si="26"/>
        <v>0</v>
      </c>
      <c r="AC16" s="10">
        <f t="shared" si="27"/>
        <v>-3.532439958034059</v>
      </c>
      <c r="AD16" s="13">
        <f t="shared" si="28"/>
        <v>7.064879916068118</v>
      </c>
      <c r="AE16" s="13">
        <f t="shared" si="29"/>
        <v>0</v>
      </c>
      <c r="AF16" s="17">
        <f t="shared" si="30"/>
        <v>0</v>
      </c>
    </row>
    <row r="17" spans="1:32" ht="12.75">
      <c r="A17" s="12">
        <v>9</v>
      </c>
      <c r="B17" s="10">
        <f t="shared" si="0"/>
        <v>0.0077777777777777776</v>
      </c>
      <c r="C17" s="10">
        <f t="shared" si="1"/>
        <v>142479.88890447616</v>
      </c>
      <c r="D17" s="16">
        <f t="shared" si="2"/>
        <v>0</v>
      </c>
      <c r="E17" s="10">
        <f t="shared" si="3"/>
        <v>-3.546706160046186</v>
      </c>
      <c r="F17" s="13">
        <f t="shared" si="4"/>
        <v>7.092215033909619</v>
      </c>
      <c r="G17" s="13">
        <f t="shared" si="5"/>
        <v>-0.02221503390961832</v>
      </c>
      <c r="H17" s="17">
        <f t="shared" si="6"/>
        <v>0</v>
      </c>
      <c r="I17" s="10">
        <f t="shared" si="7"/>
        <v>-3.5461080810762806</v>
      </c>
      <c r="J17" s="13">
        <f t="shared" si="8"/>
        <v>7.092216104530522</v>
      </c>
      <c r="K17" s="13">
        <f t="shared" si="9"/>
        <v>-1.0706209030431069E-06</v>
      </c>
      <c r="L17" s="17">
        <f t="shared" si="10"/>
        <v>0.019880901758847786</v>
      </c>
      <c r="M17" s="10">
        <f t="shared" si="11"/>
        <v>0</v>
      </c>
      <c r="N17" s="13">
        <f t="shared" si="12"/>
        <v>0.36221625561702364</v>
      </c>
      <c r="O17" s="13">
        <f t="shared" si="13"/>
        <v>6.729999848913498</v>
      </c>
      <c r="P17" s="17">
        <f t="shared" si="14"/>
        <v>0</v>
      </c>
      <c r="Q17" s="10">
        <f t="shared" si="15"/>
        <v>0</v>
      </c>
      <c r="R17" s="13">
        <f t="shared" si="16"/>
        <v>0.03060853865387514</v>
      </c>
      <c r="S17" s="13">
        <f t="shared" si="17"/>
        <v>0.3316077169631485</v>
      </c>
      <c r="T17" s="17">
        <f t="shared" si="18"/>
        <v>0</v>
      </c>
      <c r="U17" s="10">
        <f t="shared" si="19"/>
        <v>0</v>
      </c>
      <c r="V17" s="13">
        <f t="shared" si="20"/>
        <v>0.002672732966222835</v>
      </c>
      <c r="W17" s="13">
        <f t="shared" si="21"/>
        <v>0.027935805687652304</v>
      </c>
      <c r="X17" s="17">
        <f t="shared" si="22"/>
        <v>0</v>
      </c>
      <c r="Y17" s="10">
        <f t="shared" si="23"/>
        <v>0</v>
      </c>
      <c r="Z17" s="13">
        <f t="shared" si="24"/>
        <v>0.00023403974999100258</v>
      </c>
      <c r="AA17" s="13">
        <f t="shared" si="25"/>
        <v>0.0024386932162318324</v>
      </c>
      <c r="AB17" s="17">
        <f t="shared" si="26"/>
        <v>0</v>
      </c>
      <c r="AC17" s="10">
        <f t="shared" si="27"/>
        <v>0</v>
      </c>
      <c r="AD17" s="13">
        <f t="shared" si="28"/>
        <v>2.049889446523702E-05</v>
      </c>
      <c r="AE17" s="13">
        <f t="shared" si="29"/>
        <v>0.00021354085552576557</v>
      </c>
      <c r="AF17" s="17">
        <f t="shared" si="30"/>
        <v>0</v>
      </c>
    </row>
    <row r="18" spans="1:32" ht="12.75">
      <c r="A18" s="12">
        <v>10</v>
      </c>
      <c r="B18" s="10">
        <f t="shared" si="0"/>
        <v>0.008333333333333333</v>
      </c>
      <c r="C18" s="10">
        <f t="shared" si="1"/>
        <v>152657.02382622444</v>
      </c>
      <c r="D18" s="16">
        <f t="shared" si="2"/>
        <v>0</v>
      </c>
      <c r="E18" s="10">
        <f t="shared" si="3"/>
        <v>-3.559593597306364</v>
      </c>
      <c r="F18" s="13">
        <f t="shared" si="4"/>
        <v>7.116764007633506</v>
      </c>
      <c r="G18" s="13">
        <f t="shared" si="5"/>
        <v>-0.046764007633505855</v>
      </c>
      <c r="H18" s="17">
        <f t="shared" si="6"/>
        <v>0</v>
      </c>
      <c r="I18" s="10">
        <f t="shared" si="7"/>
        <v>-3.5583839977427902</v>
      </c>
      <c r="J18" s="13">
        <f t="shared" si="8"/>
        <v>7.116767799545255</v>
      </c>
      <c r="K18" s="13">
        <f t="shared" si="9"/>
        <v>-3.7919117490403664E-06</v>
      </c>
      <c r="L18" s="17">
        <f t="shared" si="10"/>
        <v>0.019743966593776214</v>
      </c>
      <c r="M18" s="10">
        <f t="shared" si="11"/>
        <v>0</v>
      </c>
      <c r="N18" s="13">
        <f t="shared" si="12"/>
        <v>0.3496773389438568</v>
      </c>
      <c r="O18" s="13">
        <f t="shared" si="13"/>
        <v>6.767090460601398</v>
      </c>
      <c r="P18" s="17">
        <f t="shared" si="14"/>
        <v>0</v>
      </c>
      <c r="Q18" s="10">
        <f t="shared" si="15"/>
        <v>0</v>
      </c>
      <c r="R18" s="13">
        <f t="shared" si="16"/>
        <v>0.027832876708987653</v>
      </c>
      <c r="S18" s="13">
        <f t="shared" si="17"/>
        <v>0.3218444622348691</v>
      </c>
      <c r="T18" s="17">
        <f t="shared" si="18"/>
        <v>0</v>
      </c>
      <c r="U18" s="10">
        <f t="shared" si="19"/>
        <v>0</v>
      </c>
      <c r="V18" s="13">
        <f t="shared" si="20"/>
        <v>0.002282689180478234</v>
      </c>
      <c r="W18" s="13">
        <f t="shared" si="21"/>
        <v>0.02555018752850942</v>
      </c>
      <c r="X18" s="17">
        <f t="shared" si="22"/>
        <v>0</v>
      </c>
      <c r="Y18" s="10">
        <f t="shared" si="23"/>
        <v>0</v>
      </c>
      <c r="Z18" s="13">
        <f t="shared" si="24"/>
        <v>0.00018766539708792553</v>
      </c>
      <c r="AA18" s="13">
        <f t="shared" si="25"/>
        <v>0.0020950237833903085</v>
      </c>
      <c r="AB18" s="17">
        <f t="shared" si="26"/>
        <v>0</v>
      </c>
      <c r="AC18" s="10">
        <f t="shared" si="27"/>
        <v>0</v>
      </c>
      <c r="AD18" s="13">
        <f t="shared" si="28"/>
        <v>1.5431485282036962E-05</v>
      </c>
      <c r="AE18" s="13">
        <f t="shared" si="29"/>
        <v>0.00017223391180588857</v>
      </c>
      <c r="AF18" s="17">
        <f t="shared" si="30"/>
        <v>0</v>
      </c>
    </row>
    <row r="19" spans="1:32" ht="12.75">
      <c r="A19" s="12">
        <v>11</v>
      </c>
      <c r="B19" s="10">
        <f t="shared" si="0"/>
        <v>0</v>
      </c>
      <c r="C19" s="10">
        <f t="shared" si="1"/>
        <v>0</v>
      </c>
      <c r="D19" s="16" t="e">
        <f t="shared" si="2"/>
        <v>#DIV/0!</v>
      </c>
      <c r="E19" s="10">
        <f t="shared" si="3"/>
        <v>0</v>
      </c>
      <c r="F19" s="13">
        <f t="shared" si="4"/>
        <v>0.7737286827898453</v>
      </c>
      <c r="G19" s="13">
        <f t="shared" si="5"/>
        <v>6.296271317210155</v>
      </c>
      <c r="H19" s="17">
        <f t="shared" si="6"/>
        <v>0</v>
      </c>
      <c r="I19" s="10">
        <f t="shared" si="7"/>
        <v>0</v>
      </c>
      <c r="J19" s="13">
        <f t="shared" si="8"/>
        <v>0.4092586225060985</v>
      </c>
      <c r="K19" s="13">
        <f t="shared" si="9"/>
        <v>0.3644700602837468</v>
      </c>
      <c r="L19" s="17">
        <f t="shared" si="10"/>
        <v>0</v>
      </c>
      <c r="M19" s="10">
        <f t="shared" si="11"/>
        <v>0</v>
      </c>
      <c r="N19" s="13">
        <f t="shared" si="12"/>
        <v>0.27820724354073223</v>
      </c>
      <c r="O19" s="13">
        <f t="shared" si="13"/>
        <v>0.13105137896536628</v>
      </c>
      <c r="P19" s="17">
        <f t="shared" si="14"/>
        <v>0</v>
      </c>
      <c r="Q19" s="10">
        <f t="shared" si="15"/>
        <v>0</v>
      </c>
      <c r="R19" s="13">
        <f t="shared" si="16"/>
        <v>0.21072849466532026</v>
      </c>
      <c r="S19" s="13">
        <f t="shared" si="17"/>
        <v>0.06747874887541197</v>
      </c>
      <c r="T19" s="17">
        <f t="shared" si="18"/>
        <v>0</v>
      </c>
      <c r="U19" s="10">
        <f t="shared" si="19"/>
        <v>0</v>
      </c>
      <c r="V19" s="13">
        <f t="shared" si="20"/>
        <v>0.16959377852299892</v>
      </c>
      <c r="W19" s="13">
        <f t="shared" si="21"/>
        <v>0.04113471614232134</v>
      </c>
      <c r="X19" s="17">
        <f t="shared" si="22"/>
        <v>0</v>
      </c>
      <c r="Y19" s="10">
        <f t="shared" si="23"/>
        <v>0</v>
      </c>
      <c r="Z19" s="13">
        <f t="shared" si="24"/>
        <v>0.1418954421257262</v>
      </c>
      <c r="AA19" s="13">
        <f t="shared" si="25"/>
        <v>0.027698336397272733</v>
      </c>
      <c r="AB19" s="17">
        <f t="shared" si="26"/>
        <v>0</v>
      </c>
      <c r="AC19" s="10">
        <f t="shared" si="27"/>
        <v>0</v>
      </c>
      <c r="AD19" s="13">
        <f t="shared" si="28"/>
        <v>0.12197438399916913</v>
      </c>
      <c r="AE19" s="13">
        <f t="shared" si="29"/>
        <v>0.019921058126557062</v>
      </c>
      <c r="AF19" s="17">
        <f t="shared" si="30"/>
        <v>0</v>
      </c>
    </row>
    <row r="20" spans="1:32" ht="12.75">
      <c r="A20" s="12">
        <v>12</v>
      </c>
      <c r="B20" s="10">
        <f t="shared" si="0"/>
        <v>0.007088984621244782</v>
      </c>
      <c r="C20" s="10">
        <f t="shared" si="1"/>
        <v>129861.99530749241</v>
      </c>
      <c r="D20" s="16">
        <f t="shared" si="2"/>
        <v>0</v>
      </c>
      <c r="E20" s="10">
        <f t="shared" si="3"/>
        <v>-3.5285826807456098</v>
      </c>
      <c r="F20" s="13">
        <f t="shared" si="4"/>
        <v>7.057854211579793</v>
      </c>
      <c r="G20" s="13">
        <f t="shared" si="5"/>
        <v>0.012145788420207637</v>
      </c>
      <c r="H20" s="17">
        <f t="shared" si="6"/>
        <v>0</v>
      </c>
      <c r="I20" s="10">
        <f t="shared" si="7"/>
        <v>-3.52892715484961</v>
      </c>
      <c r="J20" s="13">
        <f t="shared" si="8"/>
        <v>7.057854304429081</v>
      </c>
      <c r="K20" s="13">
        <f t="shared" si="9"/>
        <v>-9.284928825792349E-08</v>
      </c>
      <c r="L20" s="17">
        <f t="shared" si="10"/>
        <v>0.020074956925071514</v>
      </c>
      <c r="M20" s="10">
        <f t="shared" si="11"/>
        <v>0</v>
      </c>
      <c r="N20" s="13">
        <f t="shared" si="12"/>
        <v>0.37908774306233006</v>
      </c>
      <c r="O20" s="13">
        <f t="shared" si="13"/>
        <v>6.678766561366751</v>
      </c>
      <c r="P20" s="17">
        <f t="shared" si="14"/>
        <v>0</v>
      </c>
      <c r="Q20" s="10">
        <f t="shared" si="15"/>
        <v>0</v>
      </c>
      <c r="R20" s="13">
        <f t="shared" si="16"/>
        <v>0.03468089739976249</v>
      </c>
      <c r="S20" s="13">
        <f t="shared" si="17"/>
        <v>0.3444068456625676</v>
      </c>
      <c r="T20" s="17">
        <f t="shared" si="18"/>
        <v>0</v>
      </c>
      <c r="U20" s="10">
        <f t="shared" si="19"/>
        <v>0</v>
      </c>
      <c r="V20" s="13">
        <f t="shared" si="20"/>
        <v>0.0032921806309167134</v>
      </c>
      <c r="W20" s="13">
        <f t="shared" si="21"/>
        <v>0.031388716768845776</v>
      </c>
      <c r="X20" s="17">
        <f t="shared" si="22"/>
        <v>0</v>
      </c>
      <c r="Y20" s="10">
        <f t="shared" si="23"/>
        <v>0</v>
      </c>
      <c r="Z20" s="13">
        <f t="shared" si="24"/>
        <v>0.0003135949036919992</v>
      </c>
      <c r="AA20" s="13">
        <f t="shared" si="25"/>
        <v>0.002978585727224714</v>
      </c>
      <c r="AB20" s="17">
        <f t="shared" si="26"/>
        <v>0</v>
      </c>
      <c r="AC20" s="10">
        <f t="shared" si="27"/>
        <v>0</v>
      </c>
      <c r="AD20" s="13">
        <f t="shared" si="28"/>
        <v>2.988107282164259E-05</v>
      </c>
      <c r="AE20" s="13">
        <f t="shared" si="29"/>
        <v>0.0002837138308703566</v>
      </c>
      <c r="AF20" s="17">
        <f t="shared" si="30"/>
        <v>0</v>
      </c>
    </row>
    <row r="21" spans="1:32" ht="12.75">
      <c r="A21" s="12">
        <v>13</v>
      </c>
      <c r="B21" s="10">
        <f t="shared" si="0"/>
        <v>0</v>
      </c>
      <c r="C21" s="10">
        <f t="shared" si="1"/>
        <v>0</v>
      </c>
      <c r="D21" s="16" t="e">
        <f t="shared" si="2"/>
        <v>#DIV/0!</v>
      </c>
      <c r="E21" s="10">
        <f t="shared" si="3"/>
        <v>0</v>
      </c>
      <c r="F21" s="13">
        <f t="shared" si="4"/>
        <v>0.7737286827898453</v>
      </c>
      <c r="G21" s="13">
        <f t="shared" si="5"/>
        <v>6.296271317210155</v>
      </c>
      <c r="H21" s="17">
        <f t="shared" si="6"/>
        <v>0</v>
      </c>
      <c r="I21" s="10">
        <f t="shared" si="7"/>
        <v>0</v>
      </c>
      <c r="J21" s="13">
        <f t="shared" si="8"/>
        <v>0.4092586225060985</v>
      </c>
      <c r="K21" s="13">
        <f t="shared" si="9"/>
        <v>0.3644700602837468</v>
      </c>
      <c r="L21" s="17">
        <f t="shared" si="10"/>
        <v>0</v>
      </c>
      <c r="M21" s="10">
        <f t="shared" si="11"/>
        <v>0</v>
      </c>
      <c r="N21" s="13">
        <f t="shared" si="12"/>
        <v>0.27820724354073223</v>
      </c>
      <c r="O21" s="13">
        <f t="shared" si="13"/>
        <v>0.13105137896536628</v>
      </c>
      <c r="P21" s="17">
        <f t="shared" si="14"/>
        <v>0</v>
      </c>
      <c r="Q21" s="10">
        <f t="shared" si="15"/>
        <v>0</v>
      </c>
      <c r="R21" s="13">
        <f t="shared" si="16"/>
        <v>0.21072849466532026</v>
      </c>
      <c r="S21" s="13">
        <f t="shared" si="17"/>
        <v>0.06747874887541197</v>
      </c>
      <c r="T21" s="17">
        <f t="shared" si="18"/>
        <v>0</v>
      </c>
      <c r="U21" s="10">
        <f t="shared" si="19"/>
        <v>0</v>
      </c>
      <c r="V21" s="13">
        <f t="shared" si="20"/>
        <v>0.16959377852299892</v>
      </c>
      <c r="W21" s="13">
        <f t="shared" si="21"/>
        <v>0.04113471614232134</v>
      </c>
      <c r="X21" s="17">
        <f t="shared" si="22"/>
        <v>0</v>
      </c>
      <c r="Y21" s="10">
        <f t="shared" si="23"/>
        <v>0</v>
      </c>
      <c r="Z21" s="13">
        <f t="shared" si="24"/>
        <v>0.1418954421257262</v>
      </c>
      <c r="AA21" s="13">
        <f t="shared" si="25"/>
        <v>0.027698336397272733</v>
      </c>
      <c r="AB21" s="17">
        <f t="shared" si="26"/>
        <v>0</v>
      </c>
      <c r="AC21" s="10">
        <f t="shared" si="27"/>
        <v>0</v>
      </c>
      <c r="AD21" s="13">
        <f t="shared" si="28"/>
        <v>0.12197438399916913</v>
      </c>
      <c r="AE21" s="13">
        <f t="shared" si="29"/>
        <v>0.019921058126557062</v>
      </c>
      <c r="AF21" s="17">
        <f t="shared" si="30"/>
        <v>0</v>
      </c>
    </row>
    <row r="23" spans="1:4" ht="12.75">
      <c r="A23" s="15" t="s">
        <v>18</v>
      </c>
      <c r="B23" s="12" t="s">
        <v>47</v>
      </c>
      <c r="D23" s="18" t="s">
        <v>48</v>
      </c>
    </row>
    <row r="24" spans="1:4" ht="12.75">
      <c r="A24" s="12">
        <v>1</v>
      </c>
      <c r="B24" s="19">
        <f>SUMIF(D$7:AF$7,"F",D9:AF9)</f>
        <v>0.02491992506023805</v>
      </c>
      <c r="D24" s="18">
        <f>'dados da B e CCIs e pto trabalh'!A5/3.6</f>
        <v>1.6666666666666665</v>
      </c>
    </row>
    <row r="25" spans="1:4" ht="12.75">
      <c r="A25" s="12">
        <v>2</v>
      </c>
      <c r="B25" s="19">
        <f aca="true" t="shared" si="31" ref="B25:B36">SUMIF(D$7:AF$7,"F",D10:AF10)</f>
        <v>0.023646740236917548</v>
      </c>
      <c r="D25" s="18">
        <f>'dados da B e CCIs e pto trabalh'!A6/3.6</f>
        <v>2.2222222222222223</v>
      </c>
    </row>
    <row r="26" spans="1:4" ht="12.75">
      <c r="A26" s="12">
        <v>3</v>
      </c>
      <c r="B26" s="19">
        <f t="shared" si="31"/>
        <v>0.02277549499664984</v>
      </c>
      <c r="D26" s="18">
        <f>'dados da B e CCIs e pto trabalh'!A7/3.6</f>
        <v>2.7777777777777777</v>
      </c>
    </row>
    <row r="27" spans="1:4" ht="12.75">
      <c r="A27" s="12">
        <v>4</v>
      </c>
      <c r="B27" s="19">
        <f t="shared" si="31"/>
        <v>0.021429370013467643</v>
      </c>
      <c r="D27" s="18">
        <f>'dados da B e CCIs e pto trabalh'!A8/3.6</f>
        <v>4.166666666666667</v>
      </c>
    </row>
    <row r="28" spans="1:4" ht="12.75">
      <c r="A28" s="12">
        <v>5</v>
      </c>
      <c r="B28" s="19">
        <f t="shared" si="31"/>
        <v>0.02064282106790929</v>
      </c>
      <c r="D28" s="18">
        <f>'dados da B e CCIs e pto trabalh'!A9/3.6</f>
        <v>5.555555555555555</v>
      </c>
    </row>
    <row r="29" spans="1:4" ht="12.75">
      <c r="A29" s="12">
        <v>6</v>
      </c>
      <c r="B29" s="19">
        <f t="shared" si="31"/>
        <v>0.020410495329398228</v>
      </c>
      <c r="D29" s="18">
        <f>'dados da B e CCIs e pto trabalh'!A10/3.6</f>
        <v>6.111111111111111</v>
      </c>
    </row>
    <row r="30" spans="1:4" ht="12.75">
      <c r="A30" s="12">
        <v>7</v>
      </c>
      <c r="B30" s="19">
        <f t="shared" si="31"/>
        <v>0.020210009743860453</v>
      </c>
      <c r="D30" s="18">
        <f>'dados da B e CCIs e pto trabalh'!A11/3.6</f>
        <v>6.666666666666666</v>
      </c>
    </row>
    <row r="31" spans="1:4" ht="12.75">
      <c r="A31" s="12">
        <v>8</v>
      </c>
      <c r="B31" s="19">
        <f t="shared" si="31"/>
        <v>0</v>
      </c>
      <c r="D31" s="18">
        <f>'dados da B e CCIs e pto trabalh'!A12/3.6</f>
        <v>7.222222222222222</v>
      </c>
    </row>
    <row r="32" spans="1:4" ht="12.75">
      <c r="A32" s="12">
        <v>9</v>
      </c>
      <c r="B32" s="19">
        <f t="shared" si="31"/>
        <v>0.019880901758847786</v>
      </c>
      <c r="D32" s="18">
        <f>'dados da B e CCIs e pto trabalh'!A13/3.6</f>
        <v>7.777777777777778</v>
      </c>
    </row>
    <row r="33" spans="1:4" ht="12.75">
      <c r="A33" s="12">
        <v>10</v>
      </c>
      <c r="B33" s="19">
        <f t="shared" si="31"/>
        <v>0.019743966593776214</v>
      </c>
      <c r="D33" s="18">
        <f>'dados da B e CCIs e pto trabalh'!A14/3.6</f>
        <v>8.333333333333334</v>
      </c>
    </row>
    <row r="34" spans="1:4" ht="12.75">
      <c r="A34" s="12">
        <v>11</v>
      </c>
      <c r="B34" s="13" t="e">
        <f t="shared" si="31"/>
        <v>#DIV/0!</v>
      </c>
      <c r="D34" s="18">
        <f>'dados da B e CCIs e pto trabalh'!A15/3.6</f>
        <v>0</v>
      </c>
    </row>
    <row r="35" spans="1:4" ht="12.75">
      <c r="A35" s="15">
        <v>12</v>
      </c>
      <c r="B35" s="17">
        <f t="shared" si="31"/>
        <v>0.020074956925071514</v>
      </c>
      <c r="C35" s="50"/>
      <c r="D35" s="1">
        <f>'dados da B e CCIs e pto trabalh'!F51/3.6</f>
        <v>7.088984621244782</v>
      </c>
    </row>
    <row r="36" spans="1:4" ht="12.75">
      <c r="A36" s="12">
        <v>13</v>
      </c>
      <c r="B36" s="13" t="e">
        <f t="shared" si="31"/>
        <v>#DIV/0!</v>
      </c>
      <c r="D36" s="18">
        <f>'dados da B e CCIs e pto trabalh'!A17/3.6</f>
        <v>0</v>
      </c>
    </row>
  </sheetData>
  <mergeCells count="1">
    <mergeCell ref="A1:I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6"/>
  <sheetViews>
    <sheetView workbookViewId="0" topLeftCell="A1">
      <selection activeCell="B28" sqref="B28:B32"/>
    </sheetView>
  </sheetViews>
  <sheetFormatPr defaultColWidth="9.140625" defaultRowHeight="12.75"/>
  <cols>
    <col min="5" max="5" width="11.00390625" style="0" customWidth="1"/>
    <col min="9" max="9" width="12.57421875" style="0" customWidth="1"/>
    <col min="13" max="13" width="10.7109375" style="0" customWidth="1"/>
    <col min="17" max="17" width="11.00390625" style="0" customWidth="1"/>
  </cols>
  <sheetData>
    <row r="1" spans="1:9" ht="12.75">
      <c r="A1" s="82" t="s">
        <v>6</v>
      </c>
      <c r="B1" s="83"/>
      <c r="C1" s="83"/>
      <c r="D1" s="83"/>
      <c r="E1" s="83"/>
      <c r="F1" s="83"/>
      <c r="G1" s="83"/>
      <c r="H1" s="83"/>
      <c r="I1" s="83"/>
    </row>
    <row r="2" spans="1:9" ht="18.75" customHeight="1">
      <c r="A2" s="83"/>
      <c r="B2" s="83"/>
      <c r="C2" s="83"/>
      <c r="D2" s="83"/>
      <c r="E2" s="83"/>
      <c r="F2" s="83"/>
      <c r="G2" s="83"/>
      <c r="H2" s="83"/>
      <c r="I2" s="83"/>
    </row>
    <row r="3" spans="1:3" ht="12.75">
      <c r="A3" s="6" t="s">
        <v>7</v>
      </c>
      <c r="B3" s="7">
        <v>0.0525</v>
      </c>
      <c r="C3" s="8" t="s">
        <v>8</v>
      </c>
    </row>
    <row r="4" spans="1:3" ht="12.75" customHeight="1">
      <c r="A4" s="9" t="s">
        <v>9</v>
      </c>
      <c r="B4" s="10">
        <f>'Dados e resoluções'!G36/'Dados e resoluções'!C36</f>
        <v>8.926780341023068E-07</v>
      </c>
      <c r="C4" s="8" t="s">
        <v>10</v>
      </c>
    </row>
    <row r="5" spans="1:3" ht="12.75" customHeight="1">
      <c r="A5" s="11" t="s">
        <v>11</v>
      </c>
      <c r="B5" s="10">
        <f>'Dados e resoluções'!C33</f>
        <v>4.6E-05</v>
      </c>
      <c r="C5" s="8" t="s">
        <v>8</v>
      </c>
    </row>
    <row r="6" spans="1:3" ht="12.75" customHeight="1">
      <c r="A6" s="12" t="s">
        <v>12</v>
      </c>
      <c r="B6" s="13">
        <v>7.07</v>
      </c>
      <c r="C6" s="8" t="s">
        <v>13</v>
      </c>
    </row>
    <row r="7" spans="4:32" s="14" customFormat="1" ht="12.75">
      <c r="D7" s="14" t="s">
        <v>14</v>
      </c>
      <c r="H7" s="14" t="s">
        <v>14</v>
      </c>
      <c r="L7" s="14" t="s">
        <v>14</v>
      </c>
      <c r="P7" s="14" t="s">
        <v>14</v>
      </c>
      <c r="T7" s="14" t="s">
        <v>14</v>
      </c>
      <c r="X7" s="14" t="s">
        <v>14</v>
      </c>
      <c r="AB7" s="14" t="s">
        <v>14</v>
      </c>
      <c r="AF7" s="14" t="s">
        <v>14</v>
      </c>
    </row>
    <row r="8" spans="1:32" ht="12.75">
      <c r="A8" s="12" t="s">
        <v>15</v>
      </c>
      <c r="B8" s="12" t="s">
        <v>16</v>
      </c>
      <c r="C8" s="12" t="s">
        <v>17</v>
      </c>
      <c r="D8" s="15" t="s">
        <v>18</v>
      </c>
      <c r="E8" s="12" t="s">
        <v>19</v>
      </c>
      <c r="F8" s="12" t="s">
        <v>20</v>
      </c>
      <c r="G8" s="12" t="s">
        <v>21</v>
      </c>
      <c r="H8" s="15" t="s">
        <v>22</v>
      </c>
      <c r="I8" s="12" t="s">
        <v>23</v>
      </c>
      <c r="J8" s="12" t="s">
        <v>24</v>
      </c>
      <c r="K8" s="12" t="s">
        <v>25</v>
      </c>
      <c r="L8" s="15" t="s">
        <v>26</v>
      </c>
      <c r="M8" s="12" t="s">
        <v>27</v>
      </c>
      <c r="N8" s="12" t="s">
        <v>28</v>
      </c>
      <c r="O8" s="12" t="s">
        <v>29</v>
      </c>
      <c r="P8" s="15" t="s">
        <v>30</v>
      </c>
      <c r="Q8" s="12" t="s">
        <v>31</v>
      </c>
      <c r="R8" s="12" t="s">
        <v>32</v>
      </c>
      <c r="S8" s="12" t="s">
        <v>33</v>
      </c>
      <c r="T8" s="15" t="s">
        <v>34</v>
      </c>
      <c r="U8" s="12" t="s">
        <v>35</v>
      </c>
      <c r="V8" s="12" t="s">
        <v>36</v>
      </c>
      <c r="W8" s="12" t="s">
        <v>37</v>
      </c>
      <c r="X8" s="15" t="s">
        <v>38</v>
      </c>
      <c r="Y8" s="12" t="s">
        <v>39</v>
      </c>
      <c r="Z8" s="12" t="s">
        <v>40</v>
      </c>
      <c r="AA8" s="12" t="s">
        <v>41</v>
      </c>
      <c r="AB8" s="15" t="s">
        <v>42</v>
      </c>
      <c r="AC8" s="12" t="s">
        <v>43</v>
      </c>
      <c r="AD8" s="12" t="s">
        <v>44</v>
      </c>
      <c r="AE8" s="12" t="s">
        <v>45</v>
      </c>
      <c r="AF8" s="15" t="s">
        <v>46</v>
      </c>
    </row>
    <row r="9" spans="1:32" ht="12.75">
      <c r="A9" s="12">
        <v>1</v>
      </c>
      <c r="B9" s="10">
        <f>D24/1000</f>
        <v>0.0016666666666666666</v>
      </c>
      <c r="C9" s="10">
        <f>(4*B9)/(3.14*$B$3*$B$4)</f>
        <v>45302.78916595384</v>
      </c>
      <c r="D9" s="16">
        <f>IF(C9&lt;=2000,64/C9,0)</f>
        <v>0</v>
      </c>
      <c r="E9" s="10">
        <f>IF($C9&gt;=2000,LOG(((0.27*$B$5)/($B$3))+((2.51*3.14*$B$3*$B$4*$B$6)/(4*$B9))),0)</f>
        <v>-3.201843573305576</v>
      </c>
      <c r="F9" s="13">
        <f>$B$6-(($B$6+2*$E9)/(1+(5.02)/((((0.27*4*$B$5*$B9)/(3.14*$B$3^2*$B$4))+(2.51*$B$6))*2.302)))</f>
        <v>6.451104200316385</v>
      </c>
      <c r="G9" s="13">
        <f>($B$6-F9)</f>
        <v>0.6188957996836155</v>
      </c>
      <c r="H9" s="17">
        <f>IF(AND(G9&gt;=-0.0001,G9&lt;=0.0001),1/F9^2,0)</f>
        <v>0</v>
      </c>
      <c r="I9" s="10">
        <f>IF(AND(H9=0,E9&lt;&gt;0),LOG(((0.27*$B$5)/($B$3))+((2.51*3.14*$B$3*$B$4*F9)/(4*$B9))),0)</f>
        <v>-3.226217423045673</v>
      </c>
      <c r="J9" s="13">
        <f>F9-((F9+2*I9)/(1+(5.02)/((((0.27*4*$B$5*$B9)/(3.14*$B$3^2*$B$4))+(2.51*F9))*2.302)))</f>
        <v>6.452335096249338</v>
      </c>
      <c r="K9" s="13">
        <f>F9-J9</f>
        <v>-0.0012308959329532243</v>
      </c>
      <c r="L9" s="17">
        <f>IF(AND(K9&gt;=-0.0001,K9&lt;0),1/J9^2,0)</f>
        <v>0</v>
      </c>
      <c r="M9" s="10">
        <f>IF(AND(L9=0,I9&lt;&gt;0),LOG(((0.27*$B$5)/($B$3))+((2.51*3.14*$B$3*$B$4*J9)/(4*$B9))),0)</f>
        <v>-3.226167563660194</v>
      </c>
      <c r="N9" s="13">
        <f>J9-((J9+2*M9)/(1+(5.02)/((((0.27*4*$B$5*$B9)/(3.14*$B$3^2*$B$4))+(2.51*J9))*2.302)))</f>
        <v>6.452335124991441</v>
      </c>
      <c r="O9" s="13">
        <f>J9-N9</f>
        <v>-2.8742102919920853E-08</v>
      </c>
      <c r="P9" s="17">
        <f>IF(AND(O9&gt;=-0.0001,O9&lt;0),1/N9^2,0)</f>
        <v>0.02401962197592115</v>
      </c>
      <c r="Q9" s="10">
        <f>IF(AND(P9=0,M9&lt;&gt;0),LOG(((0.27*$B$5)/($B$3))+((2.51*3.14*$B$3*$B$4*N9)/(4*$B9))),0)</f>
        <v>0</v>
      </c>
      <c r="R9" s="13">
        <f>IF(P9=0,N9-((N9+2*Q9)/(1+(5.02)/((((0.27*4*$B$5*$B9)/(3.14*$B$3^2*$B$4))+(2.51*N9))*2.302))),0)</f>
        <v>0</v>
      </c>
      <c r="S9" s="13">
        <f>N9-R9</f>
        <v>6.452335124991441</v>
      </c>
      <c r="T9" s="17">
        <f>IF(AND(S9&gt;=-0.0001,S9&lt;0),1/R9^2,0)</f>
        <v>0</v>
      </c>
      <c r="U9" s="10">
        <f>IF(AND(T9=0,Q9&lt;&gt;0),LOG(((0.27*$B$5)/($B$3))+((2.51*3.14*$B$3*$B$4*R9)/(4*$B9))),0)</f>
        <v>0</v>
      </c>
      <c r="V9" s="13">
        <f>R9-((R9+2*U9)/(1+(5.02)/((((0.27*4*$B$5*$B9)/(3.14*$B$3^2*$B$4))+(2.51*R9))*2.302)))</f>
        <v>0</v>
      </c>
      <c r="W9" s="13">
        <f>R9-V9</f>
        <v>0</v>
      </c>
      <c r="X9" s="17">
        <f>IF(AND(W9&gt;=-0.0001,W9&lt;0),1/V9^2,0)</f>
        <v>0</v>
      </c>
      <c r="Y9" s="10">
        <f>IF(AND(X9=0,U9&lt;&gt;0),LOG(((0.27*$B$5)/($B$3))+((2.51*3.14*$B$3*$B$4*V9)/(4*$B9))),0)</f>
        <v>0</v>
      </c>
      <c r="Z9" s="13">
        <f>V9-((V9+2*Y9)/(1+(5.02)/((((0.27*4*$B$5*$B9)/(3.14*$B$3^2*$B$4))+(2.51*V9))*2.302)))</f>
        <v>0</v>
      </c>
      <c r="AA9" s="13">
        <f>V9-Z9</f>
        <v>0</v>
      </c>
      <c r="AB9" s="17">
        <f>IF(AND(AA9&gt;=-0.0001,AA9&lt;0),1/Z9^2,0)</f>
        <v>0</v>
      </c>
      <c r="AC9" s="10">
        <f>IF(AND(AB9=0,Y9&lt;&gt;0),LOG(((0.27*$B$5)/($B$3))+((2.51*3.14*$B$3*$B$4*Z9)/(4*$B9))),0)</f>
        <v>0</v>
      </c>
      <c r="AD9" s="13">
        <f>Z9-((Z9+2*AC9)/(1+(5.02)/((((0.27*4*$B$5*$B9)/(3.14*$B$3^2*$B$4))+(2.51*Z9))*2.302)))</f>
        <v>0</v>
      </c>
      <c r="AE9" s="13">
        <f>Z9-AD9</f>
        <v>0</v>
      </c>
      <c r="AF9" s="17">
        <f>IF(AND(AE9&gt;=-0.0001,AE9&lt;0),1/AD9^2,0)</f>
        <v>0</v>
      </c>
    </row>
    <row r="10" spans="1:32" ht="12.75">
      <c r="A10" s="12">
        <v>2</v>
      </c>
      <c r="B10" s="10">
        <f aca="true" t="shared" si="0" ref="B10:B21">D25/1000</f>
        <v>0.0022222222222222222</v>
      </c>
      <c r="C10" s="10">
        <f aca="true" t="shared" si="1" ref="C10:C21">(4*B10)/(3.14*$B$3*$B$4)</f>
        <v>60403.71888793846</v>
      </c>
      <c r="D10" s="16">
        <f aca="true" t="shared" si="2" ref="D10:D21">IF(C10&lt;=2000,64/C10,0)</f>
        <v>0</v>
      </c>
      <c r="E10" s="10">
        <f aca="true" t="shared" si="3" ref="E10:E21">IF($C10&gt;=2000,LOG(((0.27*$B$5)/($B$3))+((2.51*3.14*$B$3*$B$4*$B$6)/(4*$B10))),0)</f>
        <v>-3.2754322514412793</v>
      </c>
      <c r="F10" s="13">
        <f aca="true" t="shared" si="4" ref="F10:F21">$B$6-(($B$6+2*$E10)/(1+(5.02)/((((0.27*4*$B$5*$B10)/(3.14*$B$3^2*$B$4))+(2.51*$B$6))*2.302)))</f>
        <v>6.583950731437629</v>
      </c>
      <c r="G10" s="13">
        <f aca="true" t="shared" si="5" ref="G10:G21">($B$6-F10)</f>
        <v>0.48604926856237096</v>
      </c>
      <c r="H10" s="17">
        <f aca="true" t="shared" si="6" ref="H10:H21">IF(AND(G10&gt;=-0.0001,G10&lt;=0.0001),1/F10^2,0)</f>
        <v>0</v>
      </c>
      <c r="I10" s="10">
        <f aca="true" t="shared" si="7" ref="I10:I21">IF(AND(H10=0,E10&lt;&gt;0),LOG(((0.27*$B$5)/($B$3))+((2.51*3.14*$B$3*$B$4*F10)/(4*$B10))),0)</f>
        <v>-3.2922943122963826</v>
      </c>
      <c r="J10" s="13">
        <f aca="true" t="shared" si="8" ref="J10:J21">F10-((F10+2*I10)/(1+(5.02)/((((0.27*4*$B$5*$B10)/(3.14*$B$3^2*$B$4))+(2.51*F10))*2.302)))</f>
        <v>6.584546466387693</v>
      </c>
      <c r="K10" s="13">
        <f aca="true" t="shared" si="9" ref="K10:K21">F10-J10</f>
        <v>-0.0005957349500640419</v>
      </c>
      <c r="L10" s="17">
        <f aca="true" t="shared" si="10" ref="L10:L21">IF(AND(K10&gt;=-0.0001,K10&lt;0),1/J10^2,0)</f>
        <v>0</v>
      </c>
      <c r="M10" s="10">
        <f aca="true" t="shared" si="11" ref="M10:M21">IF(AND(L10=0,I10&lt;&gt;0),LOG(((0.27*$B$5)/($B$3))+((2.51*3.14*$B$3*$B$4*J10)/(4*$B10))),0)</f>
        <v>-3.2922732390613785</v>
      </c>
      <c r="N10" s="13">
        <f aca="true" t="shared" si="12" ref="N10:N21">J10-((J10+2*M10)/(1+(5.02)/((((0.27*4*$B$5*$B10)/(3.14*$B$3^2*$B$4))+(2.51*J10))*2.302)))</f>
        <v>6.584546477347224</v>
      </c>
      <c r="O10" s="13">
        <f aca="true" t="shared" si="13" ref="O10:O21">J10-N10</f>
        <v>-1.0959531060450445E-08</v>
      </c>
      <c r="P10" s="17">
        <f aca="true" t="shared" si="14" ref="P10:P21">IF(AND(O10&gt;=-0.0001,O10&lt;0),1/N10^2,0)</f>
        <v>0.023064724155488152</v>
      </c>
      <c r="Q10" s="10">
        <f aca="true" t="shared" si="15" ref="Q10:Q21">IF(AND(P10=0,M10&lt;&gt;0),LOG(((0.27*$B$5)/($B$3))+((2.51*3.14*$B$3*$B$4*N10)/(4*$B10))),0)</f>
        <v>0</v>
      </c>
      <c r="R10" s="13">
        <f aca="true" t="shared" si="16" ref="R10:R21">IF(P10=0,N10-((N10+2*Q10)/(1+(5.02)/((((0.27*4*$B$5*$B10)/(3.14*$B$3^2*$B$4))+(2.51*N10))*2.302))),0)</f>
        <v>0</v>
      </c>
      <c r="S10" s="13">
        <f aca="true" t="shared" si="17" ref="S10:S21">N10-R10</f>
        <v>6.584546477347224</v>
      </c>
      <c r="T10" s="17">
        <f aca="true" t="shared" si="18" ref="T10:T21">IF(AND(S10&gt;=-0.0001,S10&lt;0),1/R10^2,0)</f>
        <v>0</v>
      </c>
      <c r="U10" s="10">
        <f aca="true" t="shared" si="19" ref="U10:U21">IF(AND(T10=0,Q10&lt;&gt;0),LOG(((0.27*$B$5)/($B$3))+((2.51*3.14*$B$3*$B$4*R10)/(4*$B10))),0)</f>
        <v>0</v>
      </c>
      <c r="V10" s="13">
        <f aca="true" t="shared" si="20" ref="V10:V21">R10-((R10+2*U10)/(1+(5.02)/((((0.27*4*$B$5*$B10)/(3.14*$B$3^2*$B$4))+(2.51*R10))*2.302)))</f>
        <v>0</v>
      </c>
      <c r="W10" s="13">
        <f aca="true" t="shared" si="21" ref="W10:W21">R10-V10</f>
        <v>0</v>
      </c>
      <c r="X10" s="17">
        <f aca="true" t="shared" si="22" ref="X10:X21">IF(AND(W10&gt;=-0.0001,W10&lt;0),1/V10^2,0)</f>
        <v>0</v>
      </c>
      <c r="Y10" s="10">
        <f aca="true" t="shared" si="23" ref="Y10:Y21">IF(AND(X10=0,U10&lt;&gt;0),LOG(((0.27*$B$5)/($B$3))+((2.51*3.14*$B$3*$B$4*V10)/(4*$B10))),0)</f>
        <v>0</v>
      </c>
      <c r="Z10" s="13">
        <f aca="true" t="shared" si="24" ref="Z10:Z21">V10-((V10+2*Y10)/(1+(5.02)/((((0.27*4*$B$5*$B10)/(3.14*$B$3^2*$B$4))+(2.51*V10))*2.302)))</f>
        <v>0</v>
      </c>
      <c r="AA10" s="13">
        <f aca="true" t="shared" si="25" ref="AA10:AA21">V10-Z10</f>
        <v>0</v>
      </c>
      <c r="AB10" s="17">
        <f aca="true" t="shared" si="26" ref="AB10:AB21">IF(AND(AA10&gt;=-0.0001,AA10&lt;0),1/Z10^2,0)</f>
        <v>0</v>
      </c>
      <c r="AC10" s="10">
        <f aca="true" t="shared" si="27" ref="AC10:AC21">IF(AND(AB10=0,Y10&lt;&gt;0),LOG(((0.27*$B$5)/($B$3))+((2.51*3.14*$B$3*$B$4*Z10)/(4*$B10))),0)</f>
        <v>0</v>
      </c>
      <c r="AD10" s="13">
        <f aca="true" t="shared" si="28" ref="AD10:AD21">Z10-((Z10+2*AC10)/(1+(5.02)/((((0.27*4*$B$5*$B10)/(3.14*$B$3^2*$B$4))+(2.51*Z10))*2.302)))</f>
        <v>0</v>
      </c>
      <c r="AE10" s="13">
        <f aca="true" t="shared" si="29" ref="AE10:AE21">Z10-AD10</f>
        <v>0</v>
      </c>
      <c r="AF10" s="17">
        <f aca="true" t="shared" si="30" ref="AF10:AF21">IF(AND(AE10&gt;=-0.0001,AE10&lt;0),1/AD10^2,0)</f>
        <v>0</v>
      </c>
    </row>
    <row r="11" spans="1:32" ht="12.75">
      <c r="A11" s="12">
        <v>3</v>
      </c>
      <c r="B11" s="10">
        <f t="shared" si="0"/>
        <v>0.002777777777777778</v>
      </c>
      <c r="C11" s="10">
        <f t="shared" si="1"/>
        <v>75504.64860992308</v>
      </c>
      <c r="D11" s="16">
        <f t="shared" si="2"/>
        <v>0</v>
      </c>
      <c r="E11" s="10">
        <f t="shared" si="3"/>
        <v>-3.326426809733543</v>
      </c>
      <c r="F11" s="13">
        <f t="shared" si="4"/>
        <v>6.676926354906319</v>
      </c>
      <c r="G11" s="13">
        <f t="shared" si="5"/>
        <v>0.3930736450936809</v>
      </c>
      <c r="H11" s="17">
        <f t="shared" si="6"/>
        <v>0</v>
      </c>
      <c r="I11" s="10">
        <f t="shared" si="7"/>
        <v>-3.3386299715916294</v>
      </c>
      <c r="J11" s="13">
        <f t="shared" si="8"/>
        <v>6.677240176341615</v>
      </c>
      <c r="K11" s="13">
        <f t="shared" si="9"/>
        <v>-0.00031382143529601336</v>
      </c>
      <c r="L11" s="17">
        <f t="shared" si="10"/>
        <v>0</v>
      </c>
      <c r="M11" s="10">
        <f t="shared" si="11"/>
        <v>-3.338620090794613</v>
      </c>
      <c r="N11" s="13">
        <f t="shared" si="12"/>
        <v>6.677240181278284</v>
      </c>
      <c r="O11" s="13">
        <f t="shared" si="13"/>
        <v>-4.9366688514851376E-09</v>
      </c>
      <c r="P11" s="17">
        <f t="shared" si="14"/>
        <v>0.02242879821306807</v>
      </c>
      <c r="Q11" s="10">
        <f t="shared" si="15"/>
        <v>0</v>
      </c>
      <c r="R11" s="13">
        <f t="shared" si="16"/>
        <v>0</v>
      </c>
      <c r="S11" s="13">
        <f t="shared" si="17"/>
        <v>6.677240181278284</v>
      </c>
      <c r="T11" s="17">
        <f t="shared" si="18"/>
        <v>0</v>
      </c>
      <c r="U11" s="10">
        <f t="shared" si="19"/>
        <v>0</v>
      </c>
      <c r="V11" s="13">
        <f t="shared" si="20"/>
        <v>0</v>
      </c>
      <c r="W11" s="13">
        <f t="shared" si="21"/>
        <v>0</v>
      </c>
      <c r="X11" s="17">
        <f t="shared" si="22"/>
        <v>0</v>
      </c>
      <c r="Y11" s="10">
        <f t="shared" si="23"/>
        <v>0</v>
      </c>
      <c r="Z11" s="13">
        <f t="shared" si="24"/>
        <v>0</v>
      </c>
      <c r="AA11" s="13">
        <f t="shared" si="25"/>
        <v>0</v>
      </c>
      <c r="AB11" s="17">
        <f t="shared" si="26"/>
        <v>0</v>
      </c>
      <c r="AC11" s="10">
        <f t="shared" si="27"/>
        <v>0</v>
      </c>
      <c r="AD11" s="13">
        <f t="shared" si="28"/>
        <v>0</v>
      </c>
      <c r="AE11" s="13">
        <f t="shared" si="29"/>
        <v>0</v>
      </c>
      <c r="AF11" s="17">
        <f t="shared" si="30"/>
        <v>0</v>
      </c>
    </row>
    <row r="12" spans="1:32" ht="12.75">
      <c r="A12" s="12">
        <v>4</v>
      </c>
      <c r="B12" s="10">
        <f t="shared" si="0"/>
        <v>0.004166666666666667</v>
      </c>
      <c r="C12" s="10">
        <f t="shared" si="1"/>
        <v>113256.97291488462</v>
      </c>
      <c r="D12" s="16">
        <f t="shared" si="2"/>
        <v>0</v>
      </c>
      <c r="E12" s="10">
        <f t="shared" si="3"/>
        <v>-3.405323865009508</v>
      </c>
      <c r="F12" s="13">
        <f t="shared" si="4"/>
        <v>6.822753368403868</v>
      </c>
      <c r="G12" s="13">
        <f t="shared" si="5"/>
        <v>0.24724663159613236</v>
      </c>
      <c r="H12" s="17">
        <f t="shared" si="6"/>
        <v>0</v>
      </c>
      <c r="I12" s="10">
        <f t="shared" si="7"/>
        <v>-3.4114176999461603</v>
      </c>
      <c r="J12" s="13">
        <f t="shared" si="8"/>
        <v>6.822831519409894</v>
      </c>
      <c r="K12" s="13">
        <f t="shared" si="9"/>
        <v>-7.815100602570624E-05</v>
      </c>
      <c r="L12" s="17">
        <f t="shared" si="10"/>
        <v>0.0214818018256633</v>
      </c>
      <c r="M12" s="10">
        <f t="shared" si="11"/>
        <v>0</v>
      </c>
      <c r="N12" s="13">
        <f t="shared" si="12"/>
        <v>0.32275124651621123</v>
      </c>
      <c r="O12" s="13">
        <f t="shared" si="13"/>
        <v>6.500080272893682</v>
      </c>
      <c r="P12" s="17">
        <f t="shared" si="14"/>
        <v>0</v>
      </c>
      <c r="Q12" s="10">
        <f t="shared" si="15"/>
        <v>0</v>
      </c>
      <c r="R12" s="13">
        <f t="shared" si="16"/>
        <v>0.02363092109650411</v>
      </c>
      <c r="S12" s="13">
        <f t="shared" si="17"/>
        <v>0.2991203254197071</v>
      </c>
      <c r="T12" s="17">
        <f t="shared" si="18"/>
        <v>0</v>
      </c>
      <c r="U12" s="10">
        <f t="shared" si="19"/>
        <v>0</v>
      </c>
      <c r="V12" s="13">
        <f t="shared" si="20"/>
        <v>0.0017749302915614495</v>
      </c>
      <c r="W12" s="13">
        <f t="shared" si="21"/>
        <v>0.02185599080494266</v>
      </c>
      <c r="X12" s="17">
        <f t="shared" si="22"/>
        <v>0</v>
      </c>
      <c r="Y12" s="10">
        <f t="shared" si="23"/>
        <v>0</v>
      </c>
      <c r="Z12" s="13">
        <f t="shared" si="24"/>
        <v>0.00013356827812038732</v>
      </c>
      <c r="AA12" s="13">
        <f t="shared" si="25"/>
        <v>0.0016413620134410622</v>
      </c>
      <c r="AB12" s="17">
        <f t="shared" si="26"/>
        <v>0</v>
      </c>
      <c r="AC12" s="10">
        <f t="shared" si="27"/>
        <v>0</v>
      </c>
      <c r="AD12" s="13">
        <f t="shared" si="28"/>
        <v>1.0052801347094507E-05</v>
      </c>
      <c r="AE12" s="13">
        <f t="shared" si="29"/>
        <v>0.00012351547677329281</v>
      </c>
      <c r="AF12" s="17">
        <f t="shared" si="30"/>
        <v>0</v>
      </c>
    </row>
    <row r="13" spans="1:32" ht="12.75">
      <c r="A13" s="12">
        <v>5</v>
      </c>
      <c r="B13" s="10">
        <f t="shared" si="0"/>
        <v>0.005555555555555556</v>
      </c>
      <c r="C13" s="10">
        <f t="shared" si="1"/>
        <v>151009.29721984616</v>
      </c>
      <c r="D13" s="16">
        <f t="shared" si="2"/>
        <v>0</v>
      </c>
      <c r="E13" s="10">
        <f t="shared" si="3"/>
        <v>-3.4508919983181285</v>
      </c>
      <c r="F13" s="13">
        <f t="shared" si="4"/>
        <v>6.9083756374597005</v>
      </c>
      <c r="G13" s="13">
        <f t="shared" si="5"/>
        <v>0.16162436254029977</v>
      </c>
      <c r="H13" s="17">
        <f t="shared" si="6"/>
        <v>0</v>
      </c>
      <c r="I13" s="10">
        <f t="shared" si="7"/>
        <v>-3.4541995443197586</v>
      </c>
      <c r="J13" s="13">
        <f t="shared" si="8"/>
        <v>6.9083981629435245</v>
      </c>
      <c r="K13" s="13">
        <f t="shared" si="9"/>
        <v>-2.2525483823976344E-05</v>
      </c>
      <c r="L13" s="17">
        <f t="shared" si="10"/>
        <v>0.020952954985307724</v>
      </c>
      <c r="M13" s="10">
        <f t="shared" si="11"/>
        <v>0</v>
      </c>
      <c r="N13" s="13">
        <f t="shared" si="12"/>
        <v>0.27269715215898316</v>
      </c>
      <c r="O13" s="13">
        <f t="shared" si="13"/>
        <v>6.635701010784541</v>
      </c>
      <c r="P13" s="17">
        <f t="shared" si="14"/>
        <v>0</v>
      </c>
      <c r="Q13" s="10">
        <f t="shared" si="15"/>
        <v>0</v>
      </c>
      <c r="R13" s="13">
        <f t="shared" si="16"/>
        <v>0.015410188971366312</v>
      </c>
      <c r="S13" s="13">
        <f t="shared" si="17"/>
        <v>0.25728696318761685</v>
      </c>
      <c r="T13" s="17">
        <f t="shared" si="18"/>
        <v>0</v>
      </c>
      <c r="U13" s="10">
        <f t="shared" si="19"/>
        <v>0</v>
      </c>
      <c r="V13" s="13">
        <f t="shared" si="20"/>
        <v>0.0008856551584305473</v>
      </c>
      <c r="W13" s="13">
        <f t="shared" si="21"/>
        <v>0.014524533812935765</v>
      </c>
      <c r="X13" s="17">
        <f t="shared" si="22"/>
        <v>0</v>
      </c>
      <c r="Y13" s="10">
        <f t="shared" si="23"/>
        <v>0</v>
      </c>
      <c r="Z13" s="13">
        <f t="shared" si="24"/>
        <v>5.094937026383197E-05</v>
      </c>
      <c r="AA13" s="13">
        <f t="shared" si="25"/>
        <v>0.0008347057881667153</v>
      </c>
      <c r="AB13" s="17">
        <f t="shared" si="26"/>
        <v>0</v>
      </c>
      <c r="AC13" s="10">
        <f t="shared" si="27"/>
        <v>0</v>
      </c>
      <c r="AD13" s="13">
        <f t="shared" si="28"/>
        <v>2.9311428757794477E-06</v>
      </c>
      <c r="AE13" s="13">
        <f t="shared" si="29"/>
        <v>4.801822738805252E-05</v>
      </c>
      <c r="AF13" s="17">
        <f t="shared" si="30"/>
        <v>0</v>
      </c>
    </row>
    <row r="14" spans="1:32" ht="12.75">
      <c r="A14" s="12">
        <v>6</v>
      </c>
      <c r="B14" s="10">
        <f t="shared" si="0"/>
        <v>0.0061111111111111106</v>
      </c>
      <c r="C14" s="10">
        <f t="shared" si="1"/>
        <v>166110.22694183077</v>
      </c>
      <c r="D14" s="16">
        <f t="shared" si="2"/>
        <v>0</v>
      </c>
      <c r="E14" s="10">
        <f t="shared" si="3"/>
        <v>-3.4641968026624803</v>
      </c>
      <c r="F14" s="13">
        <f t="shared" si="4"/>
        <v>6.933607812972045</v>
      </c>
      <c r="G14" s="13">
        <f t="shared" si="5"/>
        <v>0.13639218702795564</v>
      </c>
      <c r="H14" s="17">
        <f t="shared" si="6"/>
        <v>0</v>
      </c>
      <c r="I14" s="10">
        <f t="shared" si="7"/>
        <v>-3.4668110967969943</v>
      </c>
      <c r="J14" s="13">
        <f t="shared" si="8"/>
        <v>6.933621660994338</v>
      </c>
      <c r="K14" s="13">
        <f t="shared" si="9"/>
        <v>-1.384802229331683E-05</v>
      </c>
      <c r="L14" s="17">
        <f t="shared" si="10"/>
        <v>0.020800784725694316</v>
      </c>
      <c r="M14" s="10">
        <f t="shared" si="11"/>
        <v>0</v>
      </c>
      <c r="N14" s="13">
        <f t="shared" si="12"/>
        <v>0.25679294732138747</v>
      </c>
      <c r="O14" s="13">
        <f t="shared" si="13"/>
        <v>6.6768287136729505</v>
      </c>
      <c r="P14" s="17">
        <f t="shared" si="14"/>
        <v>0</v>
      </c>
      <c r="Q14" s="10">
        <f t="shared" si="15"/>
        <v>0</v>
      </c>
      <c r="R14" s="13">
        <f t="shared" si="16"/>
        <v>0.013294453241875503</v>
      </c>
      <c r="S14" s="13">
        <f t="shared" si="17"/>
        <v>0.24349849407951196</v>
      </c>
      <c r="T14" s="17">
        <f t="shared" si="18"/>
        <v>0</v>
      </c>
      <c r="U14" s="10">
        <f t="shared" si="19"/>
        <v>0</v>
      </c>
      <c r="V14" s="13">
        <f t="shared" si="20"/>
        <v>0.0006984020800785556</v>
      </c>
      <c r="W14" s="13">
        <f t="shared" si="21"/>
        <v>0.012596051161796948</v>
      </c>
      <c r="X14" s="17">
        <f t="shared" si="22"/>
        <v>0</v>
      </c>
      <c r="Y14" s="10">
        <f t="shared" si="23"/>
        <v>0</v>
      </c>
      <c r="Z14" s="13">
        <f t="shared" si="24"/>
        <v>3.6717361532796126E-05</v>
      </c>
      <c r="AA14" s="13">
        <f t="shared" si="25"/>
        <v>0.0006616847185457595</v>
      </c>
      <c r="AB14" s="17">
        <f t="shared" si="26"/>
        <v>0</v>
      </c>
      <c r="AC14" s="10">
        <f t="shared" si="27"/>
        <v>0</v>
      </c>
      <c r="AD14" s="13">
        <f t="shared" si="28"/>
        <v>1.9304332831322904E-06</v>
      </c>
      <c r="AE14" s="13">
        <f t="shared" si="29"/>
        <v>3.4786928249663836E-05</v>
      </c>
      <c r="AF14" s="17">
        <f t="shared" si="30"/>
        <v>0</v>
      </c>
    </row>
    <row r="15" spans="1:32" ht="12.75">
      <c r="A15" s="12">
        <v>7</v>
      </c>
      <c r="B15" s="10">
        <f t="shared" si="0"/>
        <v>0.006666666666666666</v>
      </c>
      <c r="C15" s="10">
        <f t="shared" si="1"/>
        <v>181211.15666381537</v>
      </c>
      <c r="D15" s="16">
        <f t="shared" si="2"/>
        <v>0</v>
      </c>
      <c r="E15" s="10">
        <f t="shared" si="3"/>
        <v>-3.4756042339790776</v>
      </c>
      <c r="F15" s="13">
        <f t="shared" si="4"/>
        <v>6.95533374690904</v>
      </c>
      <c r="G15" s="13">
        <f t="shared" si="5"/>
        <v>0.11466625309096035</v>
      </c>
      <c r="H15" s="17">
        <f t="shared" si="6"/>
        <v>0</v>
      </c>
      <c r="I15" s="10">
        <f t="shared" si="7"/>
        <v>-3.477671260548802</v>
      </c>
      <c r="J15" s="13">
        <f t="shared" si="8"/>
        <v>6.955342214992987</v>
      </c>
      <c r="K15" s="13">
        <f t="shared" si="9"/>
        <v>-8.468083946944205E-06</v>
      </c>
      <c r="L15" s="17">
        <f t="shared" si="10"/>
        <v>0.020671071738786347</v>
      </c>
      <c r="M15" s="10">
        <f t="shared" si="11"/>
        <v>0</v>
      </c>
      <c r="N15" s="13">
        <f t="shared" si="12"/>
        <v>0.24265054569772992</v>
      </c>
      <c r="O15" s="13">
        <f t="shared" si="13"/>
        <v>6.712691669295257</v>
      </c>
      <c r="P15" s="17">
        <f t="shared" si="14"/>
        <v>0</v>
      </c>
      <c r="Q15" s="10">
        <f t="shared" si="15"/>
        <v>0</v>
      </c>
      <c r="R15" s="13">
        <f t="shared" si="16"/>
        <v>0.011589157675429451</v>
      </c>
      <c r="S15" s="13">
        <f t="shared" si="17"/>
        <v>0.23106138802230047</v>
      </c>
      <c r="T15" s="17">
        <f t="shared" si="18"/>
        <v>0</v>
      </c>
      <c r="U15" s="10">
        <f t="shared" si="19"/>
        <v>0</v>
      </c>
      <c r="V15" s="13">
        <f t="shared" si="20"/>
        <v>0.0005606272831901807</v>
      </c>
      <c r="W15" s="13">
        <f t="shared" si="21"/>
        <v>0.01102853039223927</v>
      </c>
      <c r="X15" s="17">
        <f t="shared" si="22"/>
        <v>0</v>
      </c>
      <c r="Y15" s="10">
        <f t="shared" si="23"/>
        <v>0</v>
      </c>
      <c r="Z15" s="13">
        <f t="shared" si="24"/>
        <v>2.7137094940962204E-05</v>
      </c>
      <c r="AA15" s="13">
        <f t="shared" si="25"/>
        <v>0.0005334901882492185</v>
      </c>
      <c r="AB15" s="17">
        <f t="shared" si="26"/>
        <v>0</v>
      </c>
      <c r="AC15" s="10">
        <f t="shared" si="27"/>
        <v>0</v>
      </c>
      <c r="AD15" s="13">
        <f t="shared" si="28"/>
        <v>1.3136067992892239E-06</v>
      </c>
      <c r="AE15" s="13">
        <f t="shared" si="29"/>
        <v>2.582348814167298E-05</v>
      </c>
      <c r="AF15" s="17">
        <f t="shared" si="30"/>
        <v>0</v>
      </c>
    </row>
    <row r="16" spans="1:32" ht="12.75">
      <c r="A16" s="12">
        <v>8</v>
      </c>
      <c r="B16" s="10">
        <f t="shared" si="0"/>
        <v>0.007222222222222222</v>
      </c>
      <c r="C16" s="10">
        <f t="shared" si="1"/>
        <v>196312.0863858</v>
      </c>
      <c r="D16" s="16">
        <f t="shared" si="2"/>
        <v>0</v>
      </c>
      <c r="E16" s="10">
        <f t="shared" si="3"/>
        <v>-3.4854963699109645</v>
      </c>
      <c r="F16" s="13">
        <f t="shared" si="4"/>
        <v>6.974245897538627</v>
      </c>
      <c r="G16" s="13">
        <f t="shared" si="5"/>
        <v>0.09575410246137306</v>
      </c>
      <c r="H16" s="17">
        <f t="shared" si="6"/>
        <v>0</v>
      </c>
      <c r="I16" s="10">
        <f t="shared" si="7"/>
        <v>-3.4871255875670943</v>
      </c>
      <c r="J16" s="13">
        <f t="shared" si="8"/>
        <v>6.97425100109391</v>
      </c>
      <c r="K16" s="13">
        <f t="shared" si="9"/>
        <v>-5.103555282381933E-06</v>
      </c>
      <c r="L16" s="17">
        <f t="shared" si="10"/>
        <v>0.020559135700927433</v>
      </c>
      <c r="M16" s="10">
        <f t="shared" si="11"/>
        <v>0</v>
      </c>
      <c r="N16" s="13">
        <f t="shared" si="12"/>
        <v>0.2299911652965676</v>
      </c>
      <c r="O16" s="13">
        <f t="shared" si="13"/>
        <v>6.744259835797342</v>
      </c>
      <c r="P16" s="17">
        <f t="shared" si="14"/>
        <v>0</v>
      </c>
      <c r="Q16" s="10">
        <f t="shared" si="15"/>
        <v>0</v>
      </c>
      <c r="R16" s="13">
        <f t="shared" si="16"/>
        <v>0.010194032857625518</v>
      </c>
      <c r="S16" s="13">
        <f t="shared" si="17"/>
        <v>0.21979713243894208</v>
      </c>
      <c r="T16" s="17">
        <f t="shared" si="18"/>
        <v>0</v>
      </c>
      <c r="U16" s="10">
        <f t="shared" si="19"/>
        <v>0</v>
      </c>
      <c r="V16" s="13">
        <f t="shared" si="20"/>
        <v>0.0004569600933487499</v>
      </c>
      <c r="W16" s="13">
        <f t="shared" si="21"/>
        <v>0.009737072764276768</v>
      </c>
      <c r="X16" s="17">
        <f t="shared" si="22"/>
        <v>0</v>
      </c>
      <c r="Y16" s="10">
        <f t="shared" si="23"/>
        <v>0</v>
      </c>
      <c r="Z16" s="13">
        <f t="shared" si="24"/>
        <v>2.0494095582877575E-05</v>
      </c>
      <c r="AA16" s="13">
        <f t="shared" si="25"/>
        <v>0.00043646599776587234</v>
      </c>
      <c r="AB16" s="17">
        <f t="shared" si="26"/>
        <v>0</v>
      </c>
      <c r="AC16" s="10">
        <f t="shared" si="27"/>
        <v>0</v>
      </c>
      <c r="AD16" s="13">
        <f t="shared" si="28"/>
        <v>9.19155574400448E-07</v>
      </c>
      <c r="AE16" s="13">
        <f t="shared" si="29"/>
        <v>1.9574940008477127E-05</v>
      </c>
      <c r="AF16" s="17">
        <f t="shared" si="30"/>
        <v>0</v>
      </c>
    </row>
    <row r="17" spans="1:32" ht="12.75">
      <c r="A17" s="12">
        <v>9</v>
      </c>
      <c r="B17" s="10">
        <f t="shared" si="0"/>
        <v>0.0077777777777777776</v>
      </c>
      <c r="C17" s="10">
        <f t="shared" si="1"/>
        <v>211413.0161077846</v>
      </c>
      <c r="D17" s="16">
        <f t="shared" si="2"/>
        <v>0</v>
      </c>
      <c r="E17" s="10">
        <f t="shared" si="3"/>
        <v>-3.4941584578300433</v>
      </c>
      <c r="F17" s="13">
        <f t="shared" si="4"/>
        <v>6.990863749450447</v>
      </c>
      <c r="G17" s="13">
        <f t="shared" si="5"/>
        <v>0.07913625054955364</v>
      </c>
      <c r="H17" s="17">
        <f t="shared" si="6"/>
        <v>0</v>
      </c>
      <c r="I17" s="10">
        <f t="shared" si="7"/>
        <v>-3.4954334207777613</v>
      </c>
      <c r="J17" s="13">
        <f t="shared" si="8"/>
        <v>6.990866744870797</v>
      </c>
      <c r="K17" s="13">
        <f t="shared" si="9"/>
        <v>-2.9954203499826804E-06</v>
      </c>
      <c r="L17" s="17">
        <f t="shared" si="10"/>
        <v>0.02046152280588002</v>
      </c>
      <c r="M17" s="10">
        <f t="shared" si="11"/>
        <v>0</v>
      </c>
      <c r="N17" s="13">
        <f t="shared" si="12"/>
        <v>0.21859217225055705</v>
      </c>
      <c r="O17" s="13">
        <f t="shared" si="13"/>
        <v>6.77227457262024</v>
      </c>
      <c r="P17" s="17">
        <f t="shared" si="14"/>
        <v>0</v>
      </c>
      <c r="Q17" s="10">
        <f t="shared" si="15"/>
        <v>0</v>
      </c>
      <c r="R17" s="13">
        <f t="shared" si="16"/>
        <v>0.009037800633223486</v>
      </c>
      <c r="S17" s="13">
        <f t="shared" si="17"/>
        <v>0.20955437161733356</v>
      </c>
      <c r="T17" s="17">
        <f t="shared" si="18"/>
        <v>0</v>
      </c>
      <c r="U17" s="10">
        <f t="shared" si="19"/>
        <v>0</v>
      </c>
      <c r="V17" s="13">
        <f t="shared" si="20"/>
        <v>0.00037743625207394514</v>
      </c>
      <c r="W17" s="13">
        <f t="shared" si="21"/>
        <v>0.008660364381149541</v>
      </c>
      <c r="X17" s="17">
        <f t="shared" si="22"/>
        <v>0</v>
      </c>
      <c r="Y17" s="10">
        <f t="shared" si="23"/>
        <v>0</v>
      </c>
      <c r="Z17" s="13">
        <f t="shared" si="24"/>
        <v>1.5769041413611314E-05</v>
      </c>
      <c r="AA17" s="13">
        <f t="shared" si="25"/>
        <v>0.00036166721066033383</v>
      </c>
      <c r="AB17" s="17">
        <f t="shared" si="26"/>
        <v>0</v>
      </c>
      <c r="AC17" s="10">
        <f t="shared" si="27"/>
        <v>0</v>
      </c>
      <c r="AD17" s="13">
        <f t="shared" si="28"/>
        <v>6.588317643587074E-07</v>
      </c>
      <c r="AE17" s="13">
        <f t="shared" si="29"/>
        <v>1.5110209649252607E-05</v>
      </c>
      <c r="AF17" s="17">
        <f t="shared" si="30"/>
        <v>0</v>
      </c>
    </row>
    <row r="18" spans="1:32" ht="12.75">
      <c r="A18" s="12">
        <v>10</v>
      </c>
      <c r="B18" s="10">
        <f t="shared" si="0"/>
        <v>0.008333333333333333</v>
      </c>
      <c r="C18" s="10">
        <f t="shared" si="1"/>
        <v>226513.94582976925</v>
      </c>
      <c r="D18" s="16">
        <f t="shared" si="2"/>
        <v>0</v>
      </c>
      <c r="E18" s="10">
        <f t="shared" si="3"/>
        <v>-3.501807940244059</v>
      </c>
      <c r="F18" s="13">
        <f t="shared" si="4"/>
        <v>7.005585115835968</v>
      </c>
      <c r="G18" s="13">
        <f t="shared" si="5"/>
        <v>0.06441488416403196</v>
      </c>
      <c r="H18" s="17">
        <f t="shared" si="6"/>
        <v>0</v>
      </c>
      <c r="I18" s="10">
        <f t="shared" si="7"/>
        <v>-3.502793424991279</v>
      </c>
      <c r="J18" s="13">
        <f t="shared" si="8"/>
        <v>7.0055867984270055</v>
      </c>
      <c r="K18" s="13">
        <f t="shared" si="9"/>
        <v>-1.6825910371665032E-06</v>
      </c>
      <c r="L18" s="17">
        <f t="shared" si="10"/>
        <v>0.020375626138870166</v>
      </c>
      <c r="M18" s="10">
        <f t="shared" si="11"/>
        <v>0</v>
      </c>
      <c r="N18" s="13">
        <f t="shared" si="12"/>
        <v>0.2082735576707062</v>
      </c>
      <c r="O18" s="13">
        <f t="shared" si="13"/>
        <v>6.797313240756299</v>
      </c>
      <c r="P18" s="17">
        <f t="shared" si="14"/>
        <v>0</v>
      </c>
      <c r="Q18" s="10">
        <f t="shared" si="15"/>
        <v>0</v>
      </c>
      <c r="R18" s="13">
        <f t="shared" si="16"/>
        <v>0.008068627929039701</v>
      </c>
      <c r="S18" s="13">
        <f t="shared" si="17"/>
        <v>0.2002049297416665</v>
      </c>
      <c r="T18" s="17">
        <f t="shared" si="18"/>
        <v>0</v>
      </c>
      <c r="U18" s="10">
        <f t="shared" si="19"/>
        <v>0</v>
      </c>
      <c r="V18" s="13">
        <f t="shared" si="20"/>
        <v>0.0003153985476167069</v>
      </c>
      <c r="W18" s="13">
        <f t="shared" si="21"/>
        <v>0.007753229381422994</v>
      </c>
      <c r="X18" s="17">
        <f t="shared" si="22"/>
        <v>0</v>
      </c>
      <c r="Y18" s="10">
        <f t="shared" si="23"/>
        <v>0</v>
      </c>
      <c r="Z18" s="13">
        <f t="shared" si="24"/>
        <v>1.2333070436616018E-05</v>
      </c>
      <c r="AA18" s="13">
        <f t="shared" si="25"/>
        <v>0.0003030654771800909</v>
      </c>
      <c r="AB18" s="17">
        <f t="shared" si="26"/>
        <v>0</v>
      </c>
      <c r="AC18" s="10">
        <f t="shared" si="27"/>
        <v>0</v>
      </c>
      <c r="AD18" s="13">
        <f t="shared" si="28"/>
        <v>4.822682359257821E-07</v>
      </c>
      <c r="AE18" s="13">
        <f t="shared" si="29"/>
        <v>1.1850802200690236E-05</v>
      </c>
      <c r="AF18" s="17">
        <f t="shared" si="30"/>
        <v>0</v>
      </c>
    </row>
    <row r="19" spans="1:32" ht="12.75">
      <c r="A19" s="12">
        <v>11</v>
      </c>
      <c r="B19" s="10">
        <f t="shared" si="0"/>
        <v>0</v>
      </c>
      <c r="C19" s="10">
        <f t="shared" si="1"/>
        <v>0</v>
      </c>
      <c r="D19" s="16" t="e">
        <f t="shared" si="2"/>
        <v>#DIV/0!</v>
      </c>
      <c r="E19" s="10">
        <f t="shared" si="3"/>
        <v>0</v>
      </c>
      <c r="F19" s="13">
        <f t="shared" si="4"/>
        <v>0.7737286827898453</v>
      </c>
      <c r="G19" s="13">
        <f t="shared" si="5"/>
        <v>6.296271317210155</v>
      </c>
      <c r="H19" s="17">
        <f t="shared" si="6"/>
        <v>0</v>
      </c>
      <c r="I19" s="10">
        <f t="shared" si="7"/>
        <v>0</v>
      </c>
      <c r="J19" s="13">
        <f t="shared" si="8"/>
        <v>0.4092586225060985</v>
      </c>
      <c r="K19" s="13">
        <f t="shared" si="9"/>
        <v>0.3644700602837468</v>
      </c>
      <c r="L19" s="17">
        <f t="shared" si="10"/>
        <v>0</v>
      </c>
      <c r="M19" s="10">
        <f t="shared" si="11"/>
        <v>0</v>
      </c>
      <c r="N19" s="13">
        <f t="shared" si="12"/>
        <v>0.27820724354073223</v>
      </c>
      <c r="O19" s="13">
        <f t="shared" si="13"/>
        <v>0.13105137896536628</v>
      </c>
      <c r="P19" s="17">
        <f t="shared" si="14"/>
        <v>0</v>
      </c>
      <c r="Q19" s="10">
        <f t="shared" si="15"/>
        <v>0</v>
      </c>
      <c r="R19" s="13">
        <f t="shared" si="16"/>
        <v>0.21072849466532026</v>
      </c>
      <c r="S19" s="13">
        <f t="shared" si="17"/>
        <v>0.06747874887541197</v>
      </c>
      <c r="T19" s="17">
        <f t="shared" si="18"/>
        <v>0</v>
      </c>
      <c r="U19" s="10">
        <f t="shared" si="19"/>
        <v>0</v>
      </c>
      <c r="V19" s="13">
        <f t="shared" si="20"/>
        <v>0.16959377852299892</v>
      </c>
      <c r="W19" s="13">
        <f t="shared" si="21"/>
        <v>0.04113471614232134</v>
      </c>
      <c r="X19" s="17">
        <f t="shared" si="22"/>
        <v>0</v>
      </c>
      <c r="Y19" s="10">
        <f t="shared" si="23"/>
        <v>0</v>
      </c>
      <c r="Z19" s="13">
        <f t="shared" si="24"/>
        <v>0.1418954421257262</v>
      </c>
      <c r="AA19" s="13">
        <f t="shared" si="25"/>
        <v>0.027698336397272733</v>
      </c>
      <c r="AB19" s="17">
        <f t="shared" si="26"/>
        <v>0</v>
      </c>
      <c r="AC19" s="10">
        <f t="shared" si="27"/>
        <v>0</v>
      </c>
      <c r="AD19" s="13">
        <f t="shared" si="28"/>
        <v>0.12197438399916913</v>
      </c>
      <c r="AE19" s="13">
        <f t="shared" si="29"/>
        <v>0.019921058126557062</v>
      </c>
      <c r="AF19" s="17">
        <f t="shared" si="30"/>
        <v>0</v>
      </c>
    </row>
    <row r="20" spans="1:32" ht="12.75">
      <c r="A20" s="12">
        <v>12</v>
      </c>
      <c r="B20" s="10">
        <f t="shared" si="0"/>
        <v>0</v>
      </c>
      <c r="C20" s="10">
        <f t="shared" si="1"/>
        <v>0</v>
      </c>
      <c r="D20" s="16" t="e">
        <f t="shared" si="2"/>
        <v>#DIV/0!</v>
      </c>
      <c r="E20" s="10">
        <f t="shared" si="3"/>
        <v>0</v>
      </c>
      <c r="F20" s="13">
        <f t="shared" si="4"/>
        <v>0.7737286827898453</v>
      </c>
      <c r="G20" s="13">
        <f t="shared" si="5"/>
        <v>6.296271317210155</v>
      </c>
      <c r="H20" s="17">
        <f t="shared" si="6"/>
        <v>0</v>
      </c>
      <c r="I20" s="10">
        <f t="shared" si="7"/>
        <v>0</v>
      </c>
      <c r="J20" s="13">
        <f t="shared" si="8"/>
        <v>0.4092586225060985</v>
      </c>
      <c r="K20" s="13">
        <f t="shared" si="9"/>
        <v>0.3644700602837468</v>
      </c>
      <c r="L20" s="17">
        <f t="shared" si="10"/>
        <v>0</v>
      </c>
      <c r="M20" s="10">
        <f t="shared" si="11"/>
        <v>0</v>
      </c>
      <c r="N20" s="13">
        <f t="shared" si="12"/>
        <v>0.27820724354073223</v>
      </c>
      <c r="O20" s="13">
        <f t="shared" si="13"/>
        <v>0.13105137896536628</v>
      </c>
      <c r="P20" s="17">
        <f t="shared" si="14"/>
        <v>0</v>
      </c>
      <c r="Q20" s="10">
        <f t="shared" si="15"/>
        <v>0</v>
      </c>
      <c r="R20" s="13">
        <f t="shared" si="16"/>
        <v>0.21072849466532026</v>
      </c>
      <c r="S20" s="13">
        <f t="shared" si="17"/>
        <v>0.06747874887541197</v>
      </c>
      <c r="T20" s="17">
        <f t="shared" si="18"/>
        <v>0</v>
      </c>
      <c r="U20" s="10">
        <f t="shared" si="19"/>
        <v>0</v>
      </c>
      <c r="V20" s="13">
        <f t="shared" si="20"/>
        <v>0.16959377852299892</v>
      </c>
      <c r="W20" s="13">
        <f t="shared" si="21"/>
        <v>0.04113471614232134</v>
      </c>
      <c r="X20" s="17">
        <f t="shared" si="22"/>
        <v>0</v>
      </c>
      <c r="Y20" s="10">
        <f t="shared" si="23"/>
        <v>0</v>
      </c>
      <c r="Z20" s="13">
        <f t="shared" si="24"/>
        <v>0.1418954421257262</v>
      </c>
      <c r="AA20" s="13">
        <f t="shared" si="25"/>
        <v>0.027698336397272733</v>
      </c>
      <c r="AB20" s="17">
        <f t="shared" si="26"/>
        <v>0</v>
      </c>
      <c r="AC20" s="10">
        <f t="shared" si="27"/>
        <v>0</v>
      </c>
      <c r="AD20" s="13">
        <f t="shared" si="28"/>
        <v>0.12197438399916913</v>
      </c>
      <c r="AE20" s="13">
        <f t="shared" si="29"/>
        <v>0.019921058126557062</v>
      </c>
      <c r="AF20" s="17">
        <f t="shared" si="30"/>
        <v>0</v>
      </c>
    </row>
    <row r="21" spans="1:32" ht="12.75">
      <c r="A21" s="12">
        <v>13</v>
      </c>
      <c r="B21" s="10">
        <f t="shared" si="0"/>
        <v>0</v>
      </c>
      <c r="C21" s="10">
        <f t="shared" si="1"/>
        <v>0</v>
      </c>
      <c r="D21" s="16" t="e">
        <f t="shared" si="2"/>
        <v>#DIV/0!</v>
      </c>
      <c r="E21" s="10">
        <f t="shared" si="3"/>
        <v>0</v>
      </c>
      <c r="F21" s="13">
        <f t="shared" si="4"/>
        <v>0.7737286827898453</v>
      </c>
      <c r="G21" s="13">
        <f t="shared" si="5"/>
        <v>6.296271317210155</v>
      </c>
      <c r="H21" s="17">
        <f t="shared" si="6"/>
        <v>0</v>
      </c>
      <c r="I21" s="10">
        <f t="shared" si="7"/>
        <v>0</v>
      </c>
      <c r="J21" s="13">
        <f t="shared" si="8"/>
        <v>0.4092586225060985</v>
      </c>
      <c r="K21" s="13">
        <f t="shared" si="9"/>
        <v>0.3644700602837468</v>
      </c>
      <c r="L21" s="17">
        <f t="shared" si="10"/>
        <v>0</v>
      </c>
      <c r="M21" s="10">
        <f t="shared" si="11"/>
        <v>0</v>
      </c>
      <c r="N21" s="13">
        <f t="shared" si="12"/>
        <v>0.27820724354073223</v>
      </c>
      <c r="O21" s="13">
        <f t="shared" si="13"/>
        <v>0.13105137896536628</v>
      </c>
      <c r="P21" s="17">
        <f t="shared" si="14"/>
        <v>0</v>
      </c>
      <c r="Q21" s="10">
        <f t="shared" si="15"/>
        <v>0</v>
      </c>
      <c r="R21" s="13">
        <f t="shared" si="16"/>
        <v>0.21072849466532026</v>
      </c>
      <c r="S21" s="13">
        <f t="shared" si="17"/>
        <v>0.06747874887541197</v>
      </c>
      <c r="T21" s="17">
        <f t="shared" si="18"/>
        <v>0</v>
      </c>
      <c r="U21" s="10">
        <f t="shared" si="19"/>
        <v>0</v>
      </c>
      <c r="V21" s="13">
        <f t="shared" si="20"/>
        <v>0.16959377852299892</v>
      </c>
      <c r="W21" s="13">
        <f t="shared" si="21"/>
        <v>0.04113471614232134</v>
      </c>
      <c r="X21" s="17">
        <f t="shared" si="22"/>
        <v>0</v>
      </c>
      <c r="Y21" s="10">
        <f t="shared" si="23"/>
        <v>0</v>
      </c>
      <c r="Z21" s="13">
        <f t="shared" si="24"/>
        <v>0.1418954421257262</v>
      </c>
      <c r="AA21" s="13">
        <f t="shared" si="25"/>
        <v>0.027698336397272733</v>
      </c>
      <c r="AB21" s="17">
        <f t="shared" si="26"/>
        <v>0</v>
      </c>
      <c r="AC21" s="10">
        <f t="shared" si="27"/>
        <v>0</v>
      </c>
      <c r="AD21" s="13">
        <f t="shared" si="28"/>
        <v>0.12197438399916913</v>
      </c>
      <c r="AE21" s="13">
        <f t="shared" si="29"/>
        <v>0.019921058126557062</v>
      </c>
      <c r="AF21" s="17">
        <f t="shared" si="30"/>
        <v>0</v>
      </c>
    </row>
    <row r="23" spans="1:4" ht="12.75">
      <c r="A23" s="15" t="s">
        <v>18</v>
      </c>
      <c r="B23" s="12" t="s">
        <v>47</v>
      </c>
      <c r="D23" s="18" t="s">
        <v>48</v>
      </c>
    </row>
    <row r="24" spans="1:4" ht="12.75">
      <c r="A24" s="12">
        <v>1</v>
      </c>
      <c r="B24" s="19">
        <f>SUMIF(D$7:AF$7,"F",D9:AF9)</f>
        <v>0.02401962197592115</v>
      </c>
      <c r="D24" s="18">
        <f>'dados da B e CCIs e pto trabalh'!A5/3.6</f>
        <v>1.6666666666666665</v>
      </c>
    </row>
    <row r="25" spans="1:4" ht="12.75">
      <c r="A25" s="12">
        <v>2</v>
      </c>
      <c r="B25" s="19">
        <f aca="true" t="shared" si="31" ref="B25:B36">SUMIF(D$7:AF$7,"F",D10:AF10)</f>
        <v>0.023064724155488152</v>
      </c>
      <c r="D25" s="18">
        <f>'dados da B e CCIs e pto trabalh'!A6/3.6</f>
        <v>2.2222222222222223</v>
      </c>
    </row>
    <row r="26" spans="1:4" ht="12.75">
      <c r="A26" s="12">
        <v>3</v>
      </c>
      <c r="B26" s="19">
        <f t="shared" si="31"/>
        <v>0.02242879821306807</v>
      </c>
      <c r="D26" s="18">
        <f>'dados da B e CCIs e pto trabalh'!A7/3.6</f>
        <v>2.7777777777777777</v>
      </c>
    </row>
    <row r="27" spans="1:4" ht="12.75">
      <c r="A27" s="12">
        <v>4</v>
      </c>
      <c r="B27" s="19">
        <f t="shared" si="31"/>
        <v>0.0214818018256633</v>
      </c>
      <c r="D27" s="18">
        <f>'dados da B e CCIs e pto trabalh'!A8/3.6</f>
        <v>4.166666666666667</v>
      </c>
    </row>
    <row r="28" spans="1:4" ht="12.75">
      <c r="A28" s="12">
        <v>5</v>
      </c>
      <c r="B28" s="19">
        <f t="shared" si="31"/>
        <v>0.020952954985307724</v>
      </c>
      <c r="D28" s="18">
        <f>'dados da B e CCIs e pto trabalh'!A9/3.6</f>
        <v>5.555555555555555</v>
      </c>
    </row>
    <row r="29" spans="1:4" ht="12.75">
      <c r="A29" s="12">
        <v>6</v>
      </c>
      <c r="B29" s="19">
        <f t="shared" si="31"/>
        <v>0.020800784725694316</v>
      </c>
      <c r="D29" s="18">
        <f>'dados da B e CCIs e pto trabalh'!A10/3.6</f>
        <v>6.111111111111111</v>
      </c>
    </row>
    <row r="30" spans="1:4" ht="12.75">
      <c r="A30" s="12">
        <v>7</v>
      </c>
      <c r="B30" s="19">
        <f t="shared" si="31"/>
        <v>0.020671071738786347</v>
      </c>
      <c r="D30" s="18">
        <f>'dados da B e CCIs e pto trabalh'!A11/3.6</f>
        <v>6.666666666666666</v>
      </c>
    </row>
    <row r="31" spans="1:4" ht="12.75">
      <c r="A31" s="12">
        <v>8</v>
      </c>
      <c r="B31" s="19">
        <f t="shared" si="31"/>
        <v>0.020559135700927433</v>
      </c>
      <c r="D31" s="18">
        <f>'dados da B e CCIs e pto trabalh'!A12/3.6</f>
        <v>7.222222222222222</v>
      </c>
    </row>
    <row r="32" spans="1:4" ht="12.75">
      <c r="A32" s="12">
        <v>9</v>
      </c>
      <c r="B32" s="19">
        <f t="shared" si="31"/>
        <v>0.02046152280588002</v>
      </c>
      <c r="D32" s="18">
        <f>'dados da B e CCIs e pto trabalh'!A13/3.6</f>
        <v>7.777777777777778</v>
      </c>
    </row>
    <row r="33" spans="1:4" ht="12.75">
      <c r="A33" s="12">
        <v>10</v>
      </c>
      <c r="B33" s="19">
        <f t="shared" si="31"/>
        <v>0.020375626138870166</v>
      </c>
      <c r="D33" s="18">
        <f>'dados da B e CCIs e pto trabalh'!A14/3.6</f>
        <v>8.333333333333334</v>
      </c>
    </row>
    <row r="34" spans="1:4" ht="12.75">
      <c r="A34" s="12">
        <v>11</v>
      </c>
      <c r="B34" s="13" t="e">
        <f t="shared" si="31"/>
        <v>#DIV/0!</v>
      </c>
      <c r="D34" s="18">
        <f>'dados da B e CCIs e pto trabalh'!A15/3.6</f>
        <v>0</v>
      </c>
    </row>
    <row r="35" spans="1:4" ht="12.75">
      <c r="A35" s="12">
        <v>12</v>
      </c>
      <c r="B35" s="13" t="e">
        <f t="shared" si="31"/>
        <v>#DIV/0!</v>
      </c>
      <c r="D35" s="18">
        <f>'dados da B e CCIs e pto trabalh'!A16/3.6</f>
        <v>0</v>
      </c>
    </row>
    <row r="36" spans="1:4" ht="12.75">
      <c r="A36" s="12">
        <v>13</v>
      </c>
      <c r="B36" s="13" t="e">
        <f t="shared" si="31"/>
        <v>#DIV/0!</v>
      </c>
      <c r="D36" s="18">
        <f>'dados da B e CCIs e pto trabalh'!A17/3.6</f>
        <v>0</v>
      </c>
    </row>
  </sheetData>
  <mergeCells count="1">
    <mergeCell ref="A1:I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6"/>
  <sheetViews>
    <sheetView workbookViewId="0" topLeftCell="A1">
      <selection activeCell="B24" sqref="B24:B33"/>
    </sheetView>
  </sheetViews>
  <sheetFormatPr defaultColWidth="9.140625" defaultRowHeight="12.75"/>
  <cols>
    <col min="5" max="5" width="10.7109375" style="0" customWidth="1"/>
    <col min="9" max="9" width="10.28125" style="0" customWidth="1"/>
    <col min="13" max="13" width="10.28125" style="0" customWidth="1"/>
  </cols>
  <sheetData>
    <row r="1" spans="1:9" ht="12.75">
      <c r="A1" s="82" t="s">
        <v>6</v>
      </c>
      <c r="B1" s="83"/>
      <c r="C1" s="83"/>
      <c r="D1" s="83"/>
      <c r="E1" s="83"/>
      <c r="F1" s="83"/>
      <c r="G1" s="83"/>
      <c r="H1" s="83"/>
      <c r="I1" s="83"/>
    </row>
    <row r="2" spans="1:9" ht="18.75" customHeight="1">
      <c r="A2" s="83"/>
      <c r="B2" s="83"/>
      <c r="C2" s="83"/>
      <c r="D2" s="83"/>
      <c r="E2" s="83"/>
      <c r="F2" s="83"/>
      <c r="G2" s="83"/>
      <c r="H2" s="83"/>
      <c r="I2" s="83"/>
    </row>
    <row r="3" spans="1:3" ht="12.75">
      <c r="A3" s="6" t="s">
        <v>7</v>
      </c>
      <c r="B3" s="7">
        <v>0.0408</v>
      </c>
      <c r="C3" s="8" t="s">
        <v>8</v>
      </c>
    </row>
    <row r="4" spans="1:3" ht="12.75" customHeight="1">
      <c r="A4" s="9" t="s">
        <v>9</v>
      </c>
      <c r="B4" s="10">
        <f>'Dados e resoluções'!G36/'Dados e resoluções'!C36</f>
        <v>8.926780341023068E-07</v>
      </c>
      <c r="C4" s="8" t="s">
        <v>10</v>
      </c>
    </row>
    <row r="5" spans="1:3" ht="12.75" customHeight="1">
      <c r="A5" s="11" t="s">
        <v>11</v>
      </c>
      <c r="B5" s="10">
        <f>'Dados e resoluções'!C33</f>
        <v>4.6E-05</v>
      </c>
      <c r="C5" s="8" t="s">
        <v>8</v>
      </c>
    </row>
    <row r="6" spans="1:3" ht="12.75" customHeight="1">
      <c r="A6" s="12" t="s">
        <v>12</v>
      </c>
      <c r="B6" s="13">
        <v>7.07</v>
      </c>
      <c r="C6" s="8" t="s">
        <v>13</v>
      </c>
    </row>
    <row r="7" spans="4:32" s="14" customFormat="1" ht="12.75">
      <c r="D7" s="14" t="s">
        <v>14</v>
      </c>
      <c r="H7" s="14" t="s">
        <v>14</v>
      </c>
      <c r="L7" s="14" t="s">
        <v>14</v>
      </c>
      <c r="P7" s="14" t="s">
        <v>14</v>
      </c>
      <c r="T7" s="14" t="s">
        <v>14</v>
      </c>
      <c r="X7" s="14" t="s">
        <v>14</v>
      </c>
      <c r="AB7" s="14" t="s">
        <v>14</v>
      </c>
      <c r="AF7" s="14" t="s">
        <v>14</v>
      </c>
    </row>
    <row r="8" spans="1:32" ht="12.75">
      <c r="A8" s="12" t="s">
        <v>15</v>
      </c>
      <c r="B8" s="12" t="s">
        <v>16</v>
      </c>
      <c r="C8" s="12" t="s">
        <v>17</v>
      </c>
      <c r="D8" s="15" t="s">
        <v>18</v>
      </c>
      <c r="E8" s="12" t="s">
        <v>19</v>
      </c>
      <c r="F8" s="12" t="s">
        <v>20</v>
      </c>
      <c r="G8" s="12" t="s">
        <v>21</v>
      </c>
      <c r="H8" s="15" t="s">
        <v>22</v>
      </c>
      <c r="I8" s="12" t="s">
        <v>23</v>
      </c>
      <c r="J8" s="12" t="s">
        <v>24</v>
      </c>
      <c r="K8" s="12" t="s">
        <v>25</v>
      </c>
      <c r="L8" s="15" t="s">
        <v>26</v>
      </c>
      <c r="M8" s="12" t="s">
        <v>27</v>
      </c>
      <c r="N8" s="12" t="s">
        <v>28</v>
      </c>
      <c r="O8" s="12" t="s">
        <v>29</v>
      </c>
      <c r="P8" s="15" t="s">
        <v>30</v>
      </c>
      <c r="Q8" s="12" t="s">
        <v>31</v>
      </c>
      <c r="R8" s="12" t="s">
        <v>32</v>
      </c>
      <c r="S8" s="12" t="s">
        <v>33</v>
      </c>
      <c r="T8" s="15" t="s">
        <v>34</v>
      </c>
      <c r="U8" s="12" t="s">
        <v>35</v>
      </c>
      <c r="V8" s="12" t="s">
        <v>36</v>
      </c>
      <c r="W8" s="12" t="s">
        <v>37</v>
      </c>
      <c r="X8" s="15" t="s">
        <v>38</v>
      </c>
      <c r="Y8" s="12" t="s">
        <v>39</v>
      </c>
      <c r="Z8" s="12" t="s">
        <v>40</v>
      </c>
      <c r="AA8" s="12" t="s">
        <v>41</v>
      </c>
      <c r="AB8" s="15" t="s">
        <v>42</v>
      </c>
      <c r="AC8" s="12" t="s">
        <v>43</v>
      </c>
      <c r="AD8" s="12" t="s">
        <v>44</v>
      </c>
      <c r="AE8" s="12" t="s">
        <v>45</v>
      </c>
      <c r="AF8" s="15" t="s">
        <v>46</v>
      </c>
    </row>
    <row r="9" spans="1:32" ht="12.75">
      <c r="A9" s="12">
        <v>1</v>
      </c>
      <c r="B9" s="10">
        <f>D24/1000</f>
        <v>0.0016666666666666666</v>
      </c>
      <c r="C9" s="10">
        <f>(4*B9)/(3.14*$B$3*$B$4)</f>
        <v>58294.03017677883</v>
      </c>
      <c r="D9" s="16">
        <f>IF(C9&lt;=2000,64/C9,0)</f>
        <v>0</v>
      </c>
      <c r="E9" s="10">
        <f>IF($C9&gt;=2000,LOG(((0.27*$B$5)/($B$3))+((2.51*3.14*$B$3*$B$4*$B$6)/(4*$B9))),0)</f>
        <v>-3.2155047610289755</v>
      </c>
      <c r="F9" s="13">
        <f>$B$6-(($B$6+2*$E9)/(1+(5.02)/((((0.27*4*$B$5*$B9)/(3.14*$B$3^2*$B$4))+(2.51*$B$6))*2.302)))</f>
        <v>6.467998846599195</v>
      </c>
      <c r="G9" s="13">
        <f>($B$6-F9)</f>
        <v>0.6020011534008054</v>
      </c>
      <c r="H9" s="17">
        <f>IF(AND(G9&gt;=-0.0001,G9&lt;=0.0001),1/F9^2,0)</f>
        <v>0</v>
      </c>
      <c r="I9" s="10">
        <f>IF(AND(H9=0,E9&lt;&gt;0),LOG(((0.27*$B$5)/($B$3))+((2.51*3.14*$B$3*$B$4*F9)/(4*$B9))),0)</f>
        <v>-3.2343998671745857</v>
      </c>
      <c r="J9" s="13">
        <f>F9-((F9+2*I9)/(1+(5.02)/((((0.27*4*$B$5*$B9)/(3.14*$B$3^2*$B$4))+(2.51*F9))*2.302)))</f>
        <v>6.4687514360006</v>
      </c>
      <c r="K9" s="13">
        <f>F9-J9</f>
        <v>-0.0007525894014053236</v>
      </c>
      <c r="L9" s="17">
        <f>IF(AND(K9&gt;=-0.0001,K9&lt;0),1/J9^2,0)</f>
        <v>0</v>
      </c>
      <c r="M9" s="10">
        <f>IF(AND(L9=0,I9&lt;&gt;0),LOG(((0.27*$B$5)/($B$3))+((2.51*3.14*$B$3*$B$4*J9)/(4*$B9))),0)</f>
        <v>-3.234375724807717</v>
      </c>
      <c r="N9" s="13">
        <f>J9-((J9+2*M9)/(1+(5.02)/((((0.27*4*$B$5*$B9)/(3.14*$B$3^2*$B$4))+(2.51*J9))*2.302)))</f>
        <v>6.46875144879442</v>
      </c>
      <c r="O9" s="13">
        <f>J9-N9</f>
        <v>-1.2793820225454056E-08</v>
      </c>
      <c r="P9" s="17">
        <f>IF(AND(O9&gt;=-0.0001,O9&lt;0),1/N9^2,0)</f>
        <v>0.02389786322465496</v>
      </c>
      <c r="Q9" s="10">
        <f>IF(AND(P9=0,M9&lt;&gt;0),LOG(((0.27*$B$5)/($B$3))+((2.51*3.14*$B$3*$B$4*N9)/(4*$B9))),0)</f>
        <v>0</v>
      </c>
      <c r="R9" s="13">
        <f>IF(P9=0,N9-((N9+2*Q9)/(1+(5.02)/((((0.27*4*$B$5*$B9)/(3.14*$B$3^2*$B$4))+(2.51*N9))*2.302))),0)</f>
        <v>0</v>
      </c>
      <c r="S9" s="13">
        <f>N9-R9</f>
        <v>6.46875144879442</v>
      </c>
      <c r="T9" s="17">
        <f>IF(AND(S9&gt;=-0.0001,S9&lt;0),1/R9^2,0)</f>
        <v>0</v>
      </c>
      <c r="U9" s="10">
        <f>IF(AND(T9=0,Q9&lt;&gt;0),LOG(((0.27*$B$5)/($B$3))+((2.51*3.14*$B$3*$B$4*R9)/(4*$B9))),0)</f>
        <v>0</v>
      </c>
      <c r="V9" s="13">
        <f>R9-((R9+2*U9)/(1+(5.02)/((((0.27*4*$B$5*$B9)/(3.14*$B$3^2*$B$4))+(2.51*R9))*2.302)))</f>
        <v>0</v>
      </c>
      <c r="W9" s="13">
        <f>R9-V9</f>
        <v>0</v>
      </c>
      <c r="X9" s="17">
        <f>IF(AND(W9&gt;=-0.0001,W9&lt;0),1/V9^2,0)</f>
        <v>0</v>
      </c>
      <c r="Y9" s="10">
        <f>IF(AND(X9=0,U9&lt;&gt;0),LOG(((0.27*$B$5)/($B$3))+((2.51*3.14*$B$3*$B$4*V9)/(4*$B9))),0)</f>
        <v>0</v>
      </c>
      <c r="Z9" s="13">
        <f>V9-((V9+2*Y9)/(1+(5.02)/((((0.27*4*$B$5*$B9)/(3.14*$B$3^2*$B$4))+(2.51*V9))*2.302)))</f>
        <v>0</v>
      </c>
      <c r="AA9" s="13">
        <f>V9-Z9</f>
        <v>0</v>
      </c>
      <c r="AB9" s="17">
        <f>IF(AND(AA9&gt;=-0.0001,AA9&lt;0),1/Z9^2,0)</f>
        <v>0</v>
      </c>
      <c r="AC9" s="10">
        <f>IF(AND(AB9=0,Y9&lt;&gt;0),LOG(((0.27*$B$5)/($B$3))+((2.51*3.14*$B$3*$B$4*Z9)/(4*$B9))),0)</f>
        <v>0</v>
      </c>
      <c r="AD9" s="13">
        <f>Z9-((Z9+2*AC9)/(1+(5.02)/((((0.27*4*$B$5*$B9)/(3.14*$B$3^2*$B$4))+(2.51*Z9))*2.302)))</f>
        <v>0</v>
      </c>
      <c r="AE9" s="13">
        <f>Z9-AD9</f>
        <v>0</v>
      </c>
      <c r="AF9" s="17">
        <f>IF(AND(AE9&gt;=-0.0001,AE9&lt;0),1/AD9^2,0)</f>
        <v>0</v>
      </c>
    </row>
    <row r="10" spans="1:32" ht="12.75">
      <c r="A10" s="12">
        <v>2</v>
      </c>
      <c r="B10" s="10">
        <f aca="true" t="shared" si="0" ref="B10:B21">D25/1000</f>
        <v>0.0022222222222222222</v>
      </c>
      <c r="C10" s="10">
        <f aca="true" t="shared" si="1" ref="C10:C21">(4*B10)/(3.14*$B$3*$B$4)</f>
        <v>77725.37356903845</v>
      </c>
      <c r="D10" s="16">
        <f aca="true" t="shared" si="2" ref="D10:D21">IF(C10&lt;=2000,64/C10,0)</f>
        <v>0</v>
      </c>
      <c r="E10" s="10">
        <f aca="true" t="shared" si="3" ref="E10:E21">IF($C10&gt;=2000,LOG(((0.27*$B$5)/($B$3))+((2.51*3.14*$B$3*$B$4*$B$6)/(4*$B10))),0)</f>
        <v>-3.27349725236981</v>
      </c>
      <c r="F10" s="13">
        <f aca="true" t="shared" si="4" ref="F10:F21">$B$6-(($B$6+2*$E10)/(1+(5.02)/((((0.27*4*$B$5*$B10)/(3.14*$B$3^2*$B$4))+(2.51*$B$6))*2.302)))</f>
        <v>6.573161169077137</v>
      </c>
      <c r="G10" s="13">
        <f aca="true" t="shared" si="5" ref="G10:G21">($B$6-F10)</f>
        <v>0.4968388309228633</v>
      </c>
      <c r="H10" s="17">
        <f aca="true" t="shared" si="6" ref="H10:H21">IF(AND(G10&gt;=-0.0001,G10&lt;=0.0001),1/F10^2,0)</f>
        <v>0</v>
      </c>
      <c r="I10" s="10">
        <f aca="true" t="shared" si="7" ref="I10:I21">IF(AND(H10=0,E10&lt;&gt;0),LOG(((0.27*$B$5)/($B$3))+((2.51*3.14*$B$3*$B$4*F10)/(4*$B10))),0)</f>
        <v>-3.28677827718661</v>
      </c>
      <c r="J10" s="13">
        <f aca="true" t="shared" si="8" ref="J10:J21">F10-((F10+2*I10)/(1+(5.02)/((((0.27*4*$B$5*$B10)/(3.14*$B$3^2*$B$4))+(2.51*F10))*2.302)))</f>
        <v>6.57353619007528</v>
      </c>
      <c r="K10" s="13">
        <f aca="true" t="shared" si="9" ref="K10:K21">F10-J10</f>
        <v>-0.0003750209981427943</v>
      </c>
      <c r="L10" s="17">
        <f aca="true" t="shared" si="10" ref="L10:L21">IF(AND(K10&gt;=-0.0001,K10&lt;0),1/J10^2,0)</f>
        <v>0</v>
      </c>
      <c r="M10" s="10">
        <f aca="true" t="shared" si="11" ref="M10:M21">IF(AND(L10=0,I10&lt;&gt;0),LOG(((0.27*$B$5)/($B$3))+((2.51*3.14*$B$3*$B$4*J10)/(4*$B10))),0)</f>
        <v>-3.28676809774425</v>
      </c>
      <c r="N10" s="13">
        <f aca="true" t="shared" si="12" ref="N10:N21">J10-((J10+2*M10)/(1+(5.02)/((((0.27*4*$B$5*$B10)/(3.14*$B$3^2*$B$4))+(2.51*J10))*2.302)))</f>
        <v>6.573536195209699</v>
      </c>
      <c r="O10" s="13">
        <f aca="true" t="shared" si="13" ref="O10:O21">J10-N10</f>
        <v>-5.134419112096111E-09</v>
      </c>
      <c r="P10" s="17">
        <f aca="true" t="shared" si="14" ref="P10:P21">IF(AND(O10&gt;=-0.0001,O10&lt;0),1/N10^2,0)</f>
        <v>0.023142052944031922</v>
      </c>
      <c r="Q10" s="10">
        <f aca="true" t="shared" si="15" ref="Q10:Q21">IF(AND(P10=0,M10&lt;&gt;0),LOG(((0.27*$B$5)/($B$3))+((2.51*3.14*$B$3*$B$4*N10)/(4*$B10))),0)</f>
        <v>0</v>
      </c>
      <c r="R10" s="13">
        <f aca="true" t="shared" si="16" ref="R10:R21">IF(P10=0,N10-((N10+2*Q10)/(1+(5.02)/((((0.27*4*$B$5*$B10)/(3.14*$B$3^2*$B$4))+(2.51*N10))*2.302))),0)</f>
        <v>0</v>
      </c>
      <c r="S10" s="13">
        <f aca="true" t="shared" si="17" ref="S10:S21">N10-R10</f>
        <v>6.573536195209699</v>
      </c>
      <c r="T10" s="17">
        <f aca="true" t="shared" si="18" ref="T10:T21">IF(AND(S10&gt;=-0.0001,S10&lt;0),1/R10^2,0)</f>
        <v>0</v>
      </c>
      <c r="U10" s="10">
        <f aca="true" t="shared" si="19" ref="U10:U21">IF(AND(T10=0,Q10&lt;&gt;0),LOG(((0.27*$B$5)/($B$3))+((2.51*3.14*$B$3*$B$4*R10)/(4*$B10))),0)</f>
        <v>0</v>
      </c>
      <c r="V10" s="13">
        <f aca="true" t="shared" si="20" ref="V10:V21">R10-((R10+2*U10)/(1+(5.02)/((((0.27*4*$B$5*$B10)/(3.14*$B$3^2*$B$4))+(2.51*R10))*2.302)))</f>
        <v>0</v>
      </c>
      <c r="W10" s="13">
        <f aca="true" t="shared" si="21" ref="W10:W21">R10-V10</f>
        <v>0</v>
      </c>
      <c r="X10" s="17">
        <f aca="true" t="shared" si="22" ref="X10:X21">IF(AND(W10&gt;=-0.0001,W10&lt;0),1/V10^2,0)</f>
        <v>0</v>
      </c>
      <c r="Y10" s="10">
        <f aca="true" t="shared" si="23" ref="Y10:Y21">IF(AND(X10=0,U10&lt;&gt;0),LOG(((0.27*$B$5)/($B$3))+((2.51*3.14*$B$3*$B$4*V10)/(4*$B10))),0)</f>
        <v>0</v>
      </c>
      <c r="Z10" s="13">
        <f aca="true" t="shared" si="24" ref="Z10:Z21">V10-((V10+2*Y10)/(1+(5.02)/((((0.27*4*$B$5*$B10)/(3.14*$B$3^2*$B$4))+(2.51*V10))*2.302)))</f>
        <v>0</v>
      </c>
      <c r="AA10" s="13">
        <f aca="true" t="shared" si="25" ref="AA10:AA21">V10-Z10</f>
        <v>0</v>
      </c>
      <c r="AB10" s="17">
        <f aca="true" t="shared" si="26" ref="AB10:AB21">IF(AND(AA10&gt;=-0.0001,AA10&lt;0),1/Z10^2,0)</f>
        <v>0</v>
      </c>
      <c r="AC10" s="10">
        <f aca="true" t="shared" si="27" ref="AC10:AC21">IF(AND(AB10=0,Y10&lt;&gt;0),LOG(((0.27*$B$5)/($B$3))+((2.51*3.14*$B$3*$B$4*Z10)/(4*$B10))),0)</f>
        <v>0</v>
      </c>
      <c r="AD10" s="13">
        <f aca="true" t="shared" si="28" ref="AD10:AD21">Z10-((Z10+2*AC10)/(1+(5.02)/((((0.27*4*$B$5*$B10)/(3.14*$B$3^2*$B$4))+(2.51*Z10))*2.302)))</f>
        <v>0</v>
      </c>
      <c r="AE10" s="13">
        <f aca="true" t="shared" si="29" ref="AE10:AE21">Z10-AD10</f>
        <v>0</v>
      </c>
      <c r="AF10" s="17">
        <f aca="true" t="shared" si="30" ref="AF10:AF21">IF(AND(AE10&gt;=-0.0001,AE10&lt;0),1/AD10^2,0)</f>
        <v>0</v>
      </c>
    </row>
    <row r="11" spans="1:32" ht="12.75">
      <c r="A11" s="12">
        <v>3</v>
      </c>
      <c r="B11" s="10">
        <f t="shared" si="0"/>
        <v>0.002777777777777778</v>
      </c>
      <c r="C11" s="10">
        <f t="shared" si="1"/>
        <v>97156.71696129807</v>
      </c>
      <c r="D11" s="16">
        <f t="shared" si="2"/>
        <v>0</v>
      </c>
      <c r="E11" s="10">
        <f t="shared" si="3"/>
        <v>-3.312415726672988</v>
      </c>
      <c r="F11" s="13">
        <f t="shared" si="4"/>
        <v>6.644442446883279</v>
      </c>
      <c r="G11" s="13">
        <f t="shared" si="5"/>
        <v>0.4255575531167217</v>
      </c>
      <c r="H11" s="17">
        <f t="shared" si="6"/>
        <v>0</v>
      </c>
      <c r="I11" s="10">
        <f t="shared" si="7"/>
        <v>-3.322331063400801</v>
      </c>
      <c r="J11" s="13">
        <f t="shared" si="8"/>
        <v>6.644652235823959</v>
      </c>
      <c r="K11" s="13">
        <f t="shared" si="9"/>
        <v>-0.00020978894068068854</v>
      </c>
      <c r="L11" s="17">
        <f t="shared" si="10"/>
        <v>0</v>
      </c>
      <c r="M11" s="10">
        <f t="shared" si="11"/>
        <v>-3.322326119196785</v>
      </c>
      <c r="N11" s="13">
        <f t="shared" si="12"/>
        <v>6.644652238277876</v>
      </c>
      <c r="O11" s="13">
        <f t="shared" si="13"/>
        <v>-2.4539170695447865E-09</v>
      </c>
      <c r="P11" s="17">
        <f t="shared" si="14"/>
        <v>0.022649336685245186</v>
      </c>
      <c r="Q11" s="10">
        <f t="shared" si="15"/>
        <v>0</v>
      </c>
      <c r="R11" s="13">
        <f t="shared" si="16"/>
        <v>0</v>
      </c>
      <c r="S11" s="13">
        <f t="shared" si="17"/>
        <v>6.644652238277876</v>
      </c>
      <c r="T11" s="17">
        <f t="shared" si="18"/>
        <v>0</v>
      </c>
      <c r="U11" s="10">
        <f t="shared" si="19"/>
        <v>0</v>
      </c>
      <c r="V11" s="13">
        <f t="shared" si="20"/>
        <v>0</v>
      </c>
      <c r="W11" s="13">
        <f t="shared" si="21"/>
        <v>0</v>
      </c>
      <c r="X11" s="17">
        <f t="shared" si="22"/>
        <v>0</v>
      </c>
      <c r="Y11" s="10">
        <f t="shared" si="23"/>
        <v>0</v>
      </c>
      <c r="Z11" s="13">
        <f t="shared" si="24"/>
        <v>0</v>
      </c>
      <c r="AA11" s="13">
        <f t="shared" si="25"/>
        <v>0</v>
      </c>
      <c r="AB11" s="17">
        <f t="shared" si="26"/>
        <v>0</v>
      </c>
      <c r="AC11" s="10">
        <f t="shared" si="27"/>
        <v>0</v>
      </c>
      <c r="AD11" s="13">
        <f t="shared" si="28"/>
        <v>0</v>
      </c>
      <c r="AE11" s="13">
        <f t="shared" si="29"/>
        <v>0</v>
      </c>
      <c r="AF11" s="17">
        <f t="shared" si="30"/>
        <v>0</v>
      </c>
    </row>
    <row r="12" spans="1:32" ht="12.75">
      <c r="A12" s="12">
        <v>4</v>
      </c>
      <c r="B12" s="10">
        <f t="shared" si="0"/>
        <v>0.004166666666666667</v>
      </c>
      <c r="C12" s="10">
        <f t="shared" si="1"/>
        <v>145735.0754419471</v>
      </c>
      <c r="D12" s="16">
        <f t="shared" si="2"/>
        <v>0</v>
      </c>
      <c r="E12" s="10">
        <f t="shared" si="3"/>
        <v>-3.3704083541062086</v>
      </c>
      <c r="F12" s="13">
        <f t="shared" si="4"/>
        <v>6.751982603224362</v>
      </c>
      <c r="G12" s="13">
        <f t="shared" si="5"/>
        <v>0.31801739677563834</v>
      </c>
      <c r="H12" s="17">
        <f t="shared" si="6"/>
        <v>0</v>
      </c>
      <c r="I12" s="10">
        <f t="shared" si="7"/>
        <v>-3.3760260600197087</v>
      </c>
      <c r="J12" s="13">
        <f t="shared" si="8"/>
        <v>6.752049732384383</v>
      </c>
      <c r="K12" s="13">
        <f t="shared" si="9"/>
        <v>-6.712916002094005E-05</v>
      </c>
      <c r="L12" s="17">
        <f t="shared" si="10"/>
        <v>0.02193455030803235</v>
      </c>
      <c r="M12" s="10">
        <f t="shared" si="11"/>
        <v>0</v>
      </c>
      <c r="N12" s="13">
        <f t="shared" si="12"/>
        <v>0.23190824755398243</v>
      </c>
      <c r="O12" s="13">
        <f t="shared" si="13"/>
        <v>6.5201414848304005</v>
      </c>
      <c r="P12" s="17">
        <f t="shared" si="14"/>
        <v>0</v>
      </c>
      <c r="Q12" s="10">
        <f t="shared" si="15"/>
        <v>0</v>
      </c>
      <c r="R12" s="13">
        <f t="shared" si="16"/>
        <v>0.010731279131897614</v>
      </c>
      <c r="S12" s="13">
        <f t="shared" si="17"/>
        <v>0.2211769684220848</v>
      </c>
      <c r="T12" s="17">
        <f t="shared" si="18"/>
        <v>0</v>
      </c>
      <c r="U12" s="10">
        <f t="shared" si="19"/>
        <v>0</v>
      </c>
      <c r="V12" s="13">
        <f t="shared" si="20"/>
        <v>0.0005024966978425215</v>
      </c>
      <c r="W12" s="13">
        <f t="shared" si="21"/>
        <v>0.010228782434055093</v>
      </c>
      <c r="X12" s="17">
        <f t="shared" si="22"/>
        <v>0</v>
      </c>
      <c r="Y12" s="10">
        <f t="shared" si="23"/>
        <v>0</v>
      </c>
      <c r="Z12" s="13">
        <f t="shared" si="24"/>
        <v>2.3542599874726484E-05</v>
      </c>
      <c r="AA12" s="13">
        <f t="shared" si="25"/>
        <v>0.000478954097967795</v>
      </c>
      <c r="AB12" s="17">
        <f t="shared" si="26"/>
        <v>0</v>
      </c>
      <c r="AC12" s="10">
        <f t="shared" si="27"/>
        <v>0</v>
      </c>
      <c r="AD12" s="13">
        <f t="shared" si="28"/>
        <v>1.1030287897849645E-06</v>
      </c>
      <c r="AE12" s="13">
        <f t="shared" si="29"/>
        <v>2.243957108494152E-05</v>
      </c>
      <c r="AF12" s="17">
        <f t="shared" si="30"/>
        <v>0</v>
      </c>
    </row>
    <row r="13" spans="1:32" ht="12.75">
      <c r="A13" s="12">
        <v>5</v>
      </c>
      <c r="B13" s="10">
        <f t="shared" si="0"/>
        <v>0.005555555555555556</v>
      </c>
      <c r="C13" s="10">
        <f t="shared" si="1"/>
        <v>194313.43392259613</v>
      </c>
      <c r="D13" s="16">
        <f t="shared" si="2"/>
        <v>0</v>
      </c>
      <c r="E13" s="10">
        <f t="shared" si="3"/>
        <v>-3.4025934562200066</v>
      </c>
      <c r="F13" s="13">
        <f t="shared" si="4"/>
        <v>6.812489617671392</v>
      </c>
      <c r="G13" s="13">
        <f t="shared" si="5"/>
        <v>0.2575103823286087</v>
      </c>
      <c r="H13" s="17">
        <f t="shared" si="6"/>
        <v>0</v>
      </c>
      <c r="I13" s="10">
        <f t="shared" si="7"/>
        <v>-3.4062593091969458</v>
      </c>
      <c r="J13" s="13">
        <f t="shared" si="8"/>
        <v>6.812517812055221</v>
      </c>
      <c r="K13" s="13">
        <f t="shared" si="9"/>
        <v>-2.81943838293941E-05</v>
      </c>
      <c r="L13" s="17">
        <f t="shared" si="10"/>
        <v>0.021546895153865975</v>
      </c>
      <c r="M13" s="10">
        <f t="shared" si="11"/>
        <v>0</v>
      </c>
      <c r="N13" s="13">
        <f t="shared" si="12"/>
        <v>0.1894156808398728</v>
      </c>
      <c r="O13" s="13">
        <f t="shared" si="13"/>
        <v>6.623102131215348</v>
      </c>
      <c r="P13" s="17">
        <f t="shared" si="14"/>
        <v>0</v>
      </c>
      <c r="Q13" s="10">
        <f t="shared" si="15"/>
        <v>0</v>
      </c>
      <c r="R13" s="13">
        <f t="shared" si="16"/>
        <v>0.0066830323516121615</v>
      </c>
      <c r="S13" s="13">
        <f t="shared" si="17"/>
        <v>0.18273264848826065</v>
      </c>
      <c r="T13" s="17">
        <f t="shared" si="18"/>
        <v>0</v>
      </c>
      <c r="U13" s="10">
        <f t="shared" si="19"/>
        <v>0</v>
      </c>
      <c r="V13" s="13">
        <f t="shared" si="20"/>
        <v>0.00023755600625651688</v>
      </c>
      <c r="W13" s="13">
        <f t="shared" si="21"/>
        <v>0.006445476345355645</v>
      </c>
      <c r="X13" s="17">
        <f t="shared" si="22"/>
        <v>0</v>
      </c>
      <c r="Y13" s="10">
        <f t="shared" si="23"/>
        <v>0</v>
      </c>
      <c r="Z13" s="13">
        <f t="shared" si="24"/>
        <v>8.446426538474984E-06</v>
      </c>
      <c r="AA13" s="13">
        <f t="shared" si="25"/>
        <v>0.0002291095797180419</v>
      </c>
      <c r="AB13" s="17">
        <f t="shared" si="26"/>
        <v>0</v>
      </c>
      <c r="AC13" s="10">
        <f t="shared" si="27"/>
        <v>0</v>
      </c>
      <c r="AD13" s="13">
        <f t="shared" si="28"/>
        <v>3.0031987536905363E-07</v>
      </c>
      <c r="AE13" s="13">
        <f t="shared" si="29"/>
        <v>8.14610666310593E-06</v>
      </c>
      <c r="AF13" s="17">
        <f t="shared" si="30"/>
        <v>0</v>
      </c>
    </row>
    <row r="14" spans="1:32" ht="12.75">
      <c r="A14" s="12">
        <v>6</v>
      </c>
      <c r="B14" s="10">
        <f t="shared" si="0"/>
        <v>0.0061111111111111106</v>
      </c>
      <c r="C14" s="10">
        <f t="shared" si="1"/>
        <v>213744.77731485572</v>
      </c>
      <c r="D14" s="16">
        <f t="shared" si="2"/>
        <v>0</v>
      </c>
      <c r="E14" s="10">
        <f t="shared" si="3"/>
        <v>-3.411801583629628</v>
      </c>
      <c r="F14" s="13">
        <f t="shared" si="4"/>
        <v>6.829925119220894</v>
      </c>
      <c r="G14" s="13">
        <f t="shared" si="5"/>
        <v>0.24007488077910644</v>
      </c>
      <c r="H14" s="17">
        <f t="shared" si="6"/>
        <v>0</v>
      </c>
      <c r="I14" s="10">
        <f t="shared" si="7"/>
        <v>-3.414973310083586</v>
      </c>
      <c r="J14" s="13">
        <f t="shared" si="8"/>
        <v>6.8299460645652985</v>
      </c>
      <c r="K14" s="13">
        <f t="shared" si="9"/>
        <v>-2.094534440466589E-05</v>
      </c>
      <c r="L14" s="17">
        <f t="shared" si="10"/>
        <v>0.021437071267965745</v>
      </c>
      <c r="M14" s="10">
        <f t="shared" si="11"/>
        <v>0</v>
      </c>
      <c r="N14" s="13">
        <f t="shared" si="12"/>
        <v>0.17649123064935424</v>
      </c>
      <c r="O14" s="13">
        <f t="shared" si="13"/>
        <v>6.653454833915944</v>
      </c>
      <c r="P14" s="17">
        <f t="shared" si="14"/>
        <v>0</v>
      </c>
      <c r="Q14" s="10">
        <f t="shared" si="15"/>
        <v>0</v>
      </c>
      <c r="R14" s="13">
        <f t="shared" si="16"/>
        <v>0.005685860225913553</v>
      </c>
      <c r="S14" s="13">
        <f t="shared" si="17"/>
        <v>0.17080537042344068</v>
      </c>
      <c r="T14" s="17">
        <f t="shared" si="18"/>
        <v>0</v>
      </c>
      <c r="U14" s="10">
        <f t="shared" si="19"/>
        <v>0</v>
      </c>
      <c r="V14" s="13">
        <f t="shared" si="20"/>
        <v>0.00018434383487209074</v>
      </c>
      <c r="W14" s="13">
        <f t="shared" si="21"/>
        <v>0.005501516391041462</v>
      </c>
      <c r="X14" s="17">
        <f t="shared" si="22"/>
        <v>0</v>
      </c>
      <c r="Y14" s="10">
        <f t="shared" si="23"/>
        <v>0</v>
      </c>
      <c r="Z14" s="13">
        <f t="shared" si="24"/>
        <v>5.97792175590961E-06</v>
      </c>
      <c r="AA14" s="13">
        <f t="shared" si="25"/>
        <v>0.00017836591311618113</v>
      </c>
      <c r="AB14" s="17">
        <f t="shared" si="26"/>
        <v>0</v>
      </c>
      <c r="AC14" s="10">
        <f t="shared" si="27"/>
        <v>0</v>
      </c>
      <c r="AD14" s="13">
        <f t="shared" si="28"/>
        <v>1.9385398190434128E-07</v>
      </c>
      <c r="AE14" s="13">
        <f t="shared" si="29"/>
        <v>5.784067774005269E-06</v>
      </c>
      <c r="AF14" s="17">
        <f t="shared" si="30"/>
        <v>0</v>
      </c>
    </row>
    <row r="15" spans="1:32" ht="12.75">
      <c r="A15" s="12">
        <v>7</v>
      </c>
      <c r="B15" s="10">
        <f t="shared" si="0"/>
        <v>0.006666666666666666</v>
      </c>
      <c r="C15" s="10">
        <f t="shared" si="1"/>
        <v>233176.12070711533</v>
      </c>
      <c r="D15" s="16">
        <f t="shared" si="2"/>
        <v>0</v>
      </c>
      <c r="E15" s="10">
        <f t="shared" si="3"/>
        <v>-3.419627030014705</v>
      </c>
      <c r="F15" s="13">
        <f t="shared" si="4"/>
        <v>6.844789224390711</v>
      </c>
      <c r="G15" s="13">
        <f t="shared" si="5"/>
        <v>0.22521077560928937</v>
      </c>
      <c r="H15" s="17">
        <f t="shared" si="6"/>
        <v>0</v>
      </c>
      <c r="I15" s="10">
        <f t="shared" si="7"/>
        <v>-3.4224027604175067</v>
      </c>
      <c r="J15" s="13">
        <f t="shared" si="8"/>
        <v>6.84480512746772</v>
      </c>
      <c r="K15" s="13">
        <f t="shared" si="9"/>
        <v>-1.5903077009049582E-05</v>
      </c>
      <c r="L15" s="17">
        <f t="shared" si="10"/>
        <v>0.02134409884918906</v>
      </c>
      <c r="M15" s="10">
        <f t="shared" si="11"/>
        <v>0</v>
      </c>
      <c r="N15" s="13">
        <f t="shared" si="12"/>
        <v>0.1652213959392803</v>
      </c>
      <c r="O15" s="13">
        <f t="shared" si="13"/>
        <v>6.67958373152844</v>
      </c>
      <c r="P15" s="17">
        <f t="shared" si="14"/>
        <v>0</v>
      </c>
      <c r="Q15" s="10">
        <f t="shared" si="15"/>
        <v>0</v>
      </c>
      <c r="R15" s="13">
        <f t="shared" si="16"/>
        <v>0.0048969173165751</v>
      </c>
      <c r="S15" s="13">
        <f t="shared" si="17"/>
        <v>0.1603244786227052</v>
      </c>
      <c r="T15" s="17">
        <f t="shared" si="18"/>
        <v>0</v>
      </c>
      <c r="U15" s="10">
        <f t="shared" si="19"/>
        <v>0</v>
      </c>
      <c r="V15" s="13">
        <f t="shared" si="20"/>
        <v>0.00014593553704890603</v>
      </c>
      <c r="W15" s="13">
        <f t="shared" si="21"/>
        <v>0.004750981779526194</v>
      </c>
      <c r="X15" s="17">
        <f t="shared" si="22"/>
        <v>0</v>
      </c>
      <c r="Y15" s="10">
        <f t="shared" si="23"/>
        <v>0</v>
      </c>
      <c r="Z15" s="13">
        <f t="shared" si="24"/>
        <v>4.3498084363252166E-06</v>
      </c>
      <c r="AA15" s="13">
        <f t="shared" si="25"/>
        <v>0.0001415857286125808</v>
      </c>
      <c r="AB15" s="17">
        <f t="shared" si="26"/>
        <v>0</v>
      </c>
      <c r="AC15" s="10">
        <f t="shared" si="27"/>
        <v>0</v>
      </c>
      <c r="AD15" s="13">
        <f t="shared" si="28"/>
        <v>1.2965262417809364E-07</v>
      </c>
      <c r="AE15" s="13">
        <f t="shared" si="29"/>
        <v>4.220155812147123E-06</v>
      </c>
      <c r="AF15" s="17">
        <f t="shared" si="30"/>
        <v>0</v>
      </c>
    </row>
    <row r="16" spans="1:32" ht="12.75">
      <c r="A16" s="12">
        <v>8</v>
      </c>
      <c r="B16" s="10">
        <f t="shared" si="0"/>
        <v>0.007222222222222222</v>
      </c>
      <c r="C16" s="10">
        <f t="shared" si="1"/>
        <v>252607.46409937495</v>
      </c>
      <c r="D16" s="16">
        <f t="shared" si="2"/>
        <v>0</v>
      </c>
      <c r="E16" s="10">
        <f t="shared" si="3"/>
        <v>-3.4263605079376767</v>
      </c>
      <c r="F16" s="13">
        <f t="shared" si="4"/>
        <v>6.857614713743117</v>
      </c>
      <c r="G16" s="13">
        <f t="shared" si="5"/>
        <v>0.21238528625688335</v>
      </c>
      <c r="H16" s="17">
        <f t="shared" si="6"/>
        <v>0</v>
      </c>
      <c r="I16" s="10">
        <f t="shared" si="7"/>
        <v>-3.4288136504669438</v>
      </c>
      <c r="J16" s="13">
        <f t="shared" si="8"/>
        <v>6.857627015867519</v>
      </c>
      <c r="K16" s="13">
        <f t="shared" si="9"/>
        <v>-1.2302124401841752E-05</v>
      </c>
      <c r="L16" s="17">
        <f t="shared" si="10"/>
        <v>0.021264358202109306</v>
      </c>
      <c r="M16" s="10">
        <f t="shared" si="11"/>
        <v>0</v>
      </c>
      <c r="N16" s="13">
        <f t="shared" si="12"/>
        <v>0.1553069497940971</v>
      </c>
      <c r="O16" s="13">
        <f t="shared" si="13"/>
        <v>6.702320066073422</v>
      </c>
      <c r="P16" s="17">
        <f t="shared" si="14"/>
        <v>0</v>
      </c>
      <c r="Q16" s="10">
        <f t="shared" si="15"/>
        <v>0</v>
      </c>
      <c r="R16" s="13">
        <f t="shared" si="16"/>
        <v>0.004261880667487755</v>
      </c>
      <c r="S16" s="13">
        <f t="shared" si="17"/>
        <v>0.15104506912660934</v>
      </c>
      <c r="T16" s="17">
        <f t="shared" si="18"/>
        <v>0</v>
      </c>
      <c r="U16" s="10">
        <f t="shared" si="19"/>
        <v>0</v>
      </c>
      <c r="V16" s="13">
        <f t="shared" si="20"/>
        <v>0.00011751372033349215</v>
      </c>
      <c r="W16" s="13">
        <f t="shared" si="21"/>
        <v>0.004144366947154263</v>
      </c>
      <c r="X16" s="17">
        <f t="shared" si="22"/>
        <v>0</v>
      </c>
      <c r="Y16" s="10">
        <f t="shared" si="23"/>
        <v>0</v>
      </c>
      <c r="Z16" s="13">
        <f t="shared" si="24"/>
        <v>3.2406564440763593E-06</v>
      </c>
      <c r="AA16" s="13">
        <f t="shared" si="25"/>
        <v>0.0001142730638894158</v>
      </c>
      <c r="AB16" s="17">
        <f t="shared" si="26"/>
        <v>0</v>
      </c>
      <c r="AC16" s="10">
        <f t="shared" si="27"/>
        <v>0</v>
      </c>
      <c r="AD16" s="13">
        <f t="shared" si="28"/>
        <v>8.936737132057344E-08</v>
      </c>
      <c r="AE16" s="13">
        <f t="shared" si="29"/>
        <v>3.151289072755786E-06</v>
      </c>
      <c r="AF16" s="17">
        <f t="shared" si="30"/>
        <v>0</v>
      </c>
    </row>
    <row r="17" spans="1:32" ht="12.75">
      <c r="A17" s="12">
        <v>9</v>
      </c>
      <c r="B17" s="10">
        <f t="shared" si="0"/>
        <v>0.0077777777777777776</v>
      </c>
      <c r="C17" s="10">
        <f t="shared" si="1"/>
        <v>272038.80749163456</v>
      </c>
      <c r="D17" s="16">
        <f t="shared" si="2"/>
        <v>0</v>
      </c>
      <c r="E17" s="10">
        <f t="shared" si="3"/>
        <v>-3.4322163366432195</v>
      </c>
      <c r="F17" s="13">
        <f t="shared" si="4"/>
        <v>6.868796027038019</v>
      </c>
      <c r="G17" s="13">
        <f t="shared" si="5"/>
        <v>0.20120397296198167</v>
      </c>
      <c r="H17" s="17">
        <f t="shared" si="6"/>
        <v>0</v>
      </c>
      <c r="I17" s="10">
        <f t="shared" si="7"/>
        <v>-3.434402954595115</v>
      </c>
      <c r="J17" s="13">
        <f t="shared" si="8"/>
        <v>6.868805698396366</v>
      </c>
      <c r="K17" s="13">
        <f t="shared" si="9"/>
        <v>-9.67135834706312E-06</v>
      </c>
      <c r="L17" s="17">
        <f t="shared" si="10"/>
        <v>0.021195200886956263</v>
      </c>
      <c r="M17" s="10">
        <f t="shared" si="11"/>
        <v>0</v>
      </c>
      <c r="N17" s="13">
        <f t="shared" si="12"/>
        <v>0.14651684379405072</v>
      </c>
      <c r="O17" s="13">
        <f t="shared" si="13"/>
        <v>6.722288854602315</v>
      </c>
      <c r="P17" s="17">
        <f t="shared" si="14"/>
        <v>0</v>
      </c>
      <c r="Q17" s="10">
        <f t="shared" si="15"/>
        <v>0</v>
      </c>
      <c r="R17" s="13">
        <f t="shared" si="16"/>
        <v>0.0037430885859301433</v>
      </c>
      <c r="S17" s="13">
        <f t="shared" si="17"/>
        <v>0.14277375520812058</v>
      </c>
      <c r="T17" s="17">
        <f t="shared" si="18"/>
        <v>0</v>
      </c>
      <c r="U17" s="10">
        <f t="shared" si="19"/>
        <v>0</v>
      </c>
      <c r="V17" s="13">
        <f t="shared" si="20"/>
        <v>9.60284154071134E-05</v>
      </c>
      <c r="W17" s="13">
        <f t="shared" si="21"/>
        <v>0.00364706017052303</v>
      </c>
      <c r="X17" s="17">
        <f t="shared" si="22"/>
        <v>0</v>
      </c>
      <c r="Y17" s="10">
        <f t="shared" si="23"/>
        <v>0</v>
      </c>
      <c r="Z17" s="13">
        <f t="shared" si="24"/>
        <v>2.463860939476984E-06</v>
      </c>
      <c r="AA17" s="13">
        <f t="shared" si="25"/>
        <v>9.356455446763641E-05</v>
      </c>
      <c r="AB17" s="17">
        <f t="shared" si="26"/>
        <v>0</v>
      </c>
      <c r="AC17" s="10">
        <f t="shared" si="27"/>
        <v>0</v>
      </c>
      <c r="AD17" s="13">
        <f t="shared" si="28"/>
        <v>6.32169913181011E-08</v>
      </c>
      <c r="AE17" s="13">
        <f t="shared" si="29"/>
        <v>2.4006439481588827E-06</v>
      </c>
      <c r="AF17" s="17">
        <f t="shared" si="30"/>
        <v>0</v>
      </c>
    </row>
    <row r="18" spans="1:32" ht="12.75">
      <c r="A18" s="12">
        <v>10</v>
      </c>
      <c r="B18" s="10">
        <f t="shared" si="0"/>
        <v>0.008333333333333333</v>
      </c>
      <c r="C18" s="10">
        <f t="shared" si="1"/>
        <v>291470.1508838942</v>
      </c>
      <c r="D18" s="16">
        <f t="shared" si="2"/>
        <v>0</v>
      </c>
      <c r="E18" s="10">
        <f t="shared" si="3"/>
        <v>-3.4373560510125247</v>
      </c>
      <c r="F18" s="13">
        <f t="shared" si="4"/>
        <v>6.87863160127793</v>
      </c>
      <c r="G18" s="13">
        <f t="shared" si="5"/>
        <v>0.19136839872207023</v>
      </c>
      <c r="H18" s="17">
        <f t="shared" si="6"/>
        <v>0</v>
      </c>
      <c r="I18" s="10">
        <f t="shared" si="7"/>
        <v>-3.4393197354269507</v>
      </c>
      <c r="J18" s="13">
        <f t="shared" si="8"/>
        <v>6.8786393122073</v>
      </c>
      <c r="K18" s="13">
        <f t="shared" si="9"/>
        <v>-7.710929369686426E-06</v>
      </c>
      <c r="L18" s="17">
        <f t="shared" si="10"/>
        <v>0.021134643433782303</v>
      </c>
      <c r="M18" s="10">
        <f t="shared" si="11"/>
        <v>0</v>
      </c>
      <c r="N18" s="13">
        <f t="shared" si="12"/>
        <v>0.1386698034565681</v>
      </c>
      <c r="O18" s="13">
        <f t="shared" si="13"/>
        <v>6.739969508750732</v>
      </c>
      <c r="P18" s="17">
        <f t="shared" si="14"/>
        <v>0</v>
      </c>
      <c r="Q18" s="10">
        <f t="shared" si="15"/>
        <v>0</v>
      </c>
      <c r="R18" s="13">
        <f t="shared" si="16"/>
        <v>0.003313753641173839</v>
      </c>
      <c r="S18" s="13">
        <f t="shared" si="17"/>
        <v>0.13535604981539426</v>
      </c>
      <c r="T18" s="17">
        <f t="shared" si="18"/>
        <v>0</v>
      </c>
      <c r="U18" s="10">
        <f t="shared" si="19"/>
        <v>0</v>
      </c>
      <c r="V18" s="13">
        <f t="shared" si="20"/>
        <v>7.948376398565857E-05</v>
      </c>
      <c r="W18" s="13">
        <f t="shared" si="21"/>
        <v>0.0032342698771881803</v>
      </c>
      <c r="X18" s="17">
        <f t="shared" si="22"/>
        <v>0</v>
      </c>
      <c r="Y18" s="10">
        <f t="shared" si="23"/>
        <v>0</v>
      </c>
      <c r="Z18" s="13">
        <f t="shared" si="24"/>
        <v>1.906669470803411E-06</v>
      </c>
      <c r="AA18" s="13">
        <f t="shared" si="25"/>
        <v>7.757709451485516E-05</v>
      </c>
      <c r="AB18" s="17">
        <f t="shared" si="26"/>
        <v>0</v>
      </c>
      <c r="AC18" s="10">
        <f t="shared" si="27"/>
        <v>0</v>
      </c>
      <c r="AD18" s="13">
        <f t="shared" si="28"/>
        <v>4.57375956468771E-08</v>
      </c>
      <c r="AE18" s="13">
        <f t="shared" si="29"/>
        <v>1.860931875156534E-06</v>
      </c>
      <c r="AF18" s="17">
        <f t="shared" si="30"/>
        <v>0</v>
      </c>
    </row>
    <row r="19" spans="1:32" ht="12.75">
      <c r="A19" s="12">
        <v>11</v>
      </c>
      <c r="B19" s="10">
        <f t="shared" si="0"/>
        <v>0</v>
      </c>
      <c r="C19" s="10">
        <f t="shared" si="1"/>
        <v>0</v>
      </c>
      <c r="D19" s="16" t="e">
        <f t="shared" si="2"/>
        <v>#DIV/0!</v>
      </c>
      <c r="E19" s="10">
        <f t="shared" si="3"/>
        <v>0</v>
      </c>
      <c r="F19" s="13">
        <f t="shared" si="4"/>
        <v>0.7737286827898453</v>
      </c>
      <c r="G19" s="13">
        <f t="shared" si="5"/>
        <v>6.296271317210155</v>
      </c>
      <c r="H19" s="17">
        <f t="shared" si="6"/>
        <v>0</v>
      </c>
      <c r="I19" s="10">
        <f t="shared" si="7"/>
        <v>0</v>
      </c>
      <c r="J19" s="13">
        <f t="shared" si="8"/>
        <v>0.4092586225060985</v>
      </c>
      <c r="K19" s="13">
        <f t="shared" si="9"/>
        <v>0.3644700602837468</v>
      </c>
      <c r="L19" s="17">
        <f t="shared" si="10"/>
        <v>0</v>
      </c>
      <c r="M19" s="10">
        <f t="shared" si="11"/>
        <v>0</v>
      </c>
      <c r="N19" s="13">
        <f t="shared" si="12"/>
        <v>0.27820724354073223</v>
      </c>
      <c r="O19" s="13">
        <f t="shared" si="13"/>
        <v>0.13105137896536628</v>
      </c>
      <c r="P19" s="17">
        <f t="shared" si="14"/>
        <v>0</v>
      </c>
      <c r="Q19" s="10">
        <f t="shared" si="15"/>
        <v>0</v>
      </c>
      <c r="R19" s="13">
        <f t="shared" si="16"/>
        <v>0.21072849466532026</v>
      </c>
      <c r="S19" s="13">
        <f t="shared" si="17"/>
        <v>0.06747874887541197</v>
      </c>
      <c r="T19" s="17">
        <f t="shared" si="18"/>
        <v>0</v>
      </c>
      <c r="U19" s="10">
        <f t="shared" si="19"/>
        <v>0</v>
      </c>
      <c r="V19" s="13">
        <f t="shared" si="20"/>
        <v>0.16959377852299892</v>
      </c>
      <c r="W19" s="13">
        <f t="shared" si="21"/>
        <v>0.04113471614232134</v>
      </c>
      <c r="X19" s="17">
        <f t="shared" si="22"/>
        <v>0</v>
      </c>
      <c r="Y19" s="10">
        <f t="shared" si="23"/>
        <v>0</v>
      </c>
      <c r="Z19" s="13">
        <f t="shared" si="24"/>
        <v>0.1418954421257262</v>
      </c>
      <c r="AA19" s="13">
        <f t="shared" si="25"/>
        <v>0.027698336397272733</v>
      </c>
      <c r="AB19" s="17">
        <f t="shared" si="26"/>
        <v>0</v>
      </c>
      <c r="AC19" s="10">
        <f t="shared" si="27"/>
        <v>0</v>
      </c>
      <c r="AD19" s="13">
        <f t="shared" si="28"/>
        <v>0.12197438399916913</v>
      </c>
      <c r="AE19" s="13">
        <f t="shared" si="29"/>
        <v>0.019921058126557062</v>
      </c>
      <c r="AF19" s="17">
        <f t="shared" si="30"/>
        <v>0</v>
      </c>
    </row>
    <row r="20" spans="1:32" ht="12.75">
      <c r="A20" s="12">
        <v>12</v>
      </c>
      <c r="B20" s="10">
        <f t="shared" si="0"/>
        <v>0</v>
      </c>
      <c r="C20" s="10">
        <f t="shared" si="1"/>
        <v>0</v>
      </c>
      <c r="D20" s="16" t="e">
        <f t="shared" si="2"/>
        <v>#DIV/0!</v>
      </c>
      <c r="E20" s="10">
        <f t="shared" si="3"/>
        <v>0</v>
      </c>
      <c r="F20" s="13">
        <f t="shared" si="4"/>
        <v>0.7737286827898453</v>
      </c>
      <c r="G20" s="13">
        <f t="shared" si="5"/>
        <v>6.296271317210155</v>
      </c>
      <c r="H20" s="17">
        <f t="shared" si="6"/>
        <v>0</v>
      </c>
      <c r="I20" s="10">
        <f t="shared" si="7"/>
        <v>0</v>
      </c>
      <c r="J20" s="13">
        <f t="shared" si="8"/>
        <v>0.4092586225060985</v>
      </c>
      <c r="K20" s="13">
        <f t="shared" si="9"/>
        <v>0.3644700602837468</v>
      </c>
      <c r="L20" s="17">
        <f t="shared" si="10"/>
        <v>0</v>
      </c>
      <c r="M20" s="10">
        <f t="shared" si="11"/>
        <v>0</v>
      </c>
      <c r="N20" s="13">
        <f t="shared" si="12"/>
        <v>0.27820724354073223</v>
      </c>
      <c r="O20" s="13">
        <f t="shared" si="13"/>
        <v>0.13105137896536628</v>
      </c>
      <c r="P20" s="17">
        <f t="shared" si="14"/>
        <v>0</v>
      </c>
      <c r="Q20" s="10">
        <f t="shared" si="15"/>
        <v>0</v>
      </c>
      <c r="R20" s="13">
        <f t="shared" si="16"/>
        <v>0.21072849466532026</v>
      </c>
      <c r="S20" s="13">
        <f t="shared" si="17"/>
        <v>0.06747874887541197</v>
      </c>
      <c r="T20" s="17">
        <f t="shared" si="18"/>
        <v>0</v>
      </c>
      <c r="U20" s="10">
        <f t="shared" si="19"/>
        <v>0</v>
      </c>
      <c r="V20" s="13">
        <f t="shared" si="20"/>
        <v>0.16959377852299892</v>
      </c>
      <c r="W20" s="13">
        <f t="shared" si="21"/>
        <v>0.04113471614232134</v>
      </c>
      <c r="X20" s="17">
        <f t="shared" si="22"/>
        <v>0</v>
      </c>
      <c r="Y20" s="10">
        <f t="shared" si="23"/>
        <v>0</v>
      </c>
      <c r="Z20" s="13">
        <f t="shared" si="24"/>
        <v>0.1418954421257262</v>
      </c>
      <c r="AA20" s="13">
        <f t="shared" si="25"/>
        <v>0.027698336397272733</v>
      </c>
      <c r="AB20" s="17">
        <f t="shared" si="26"/>
        <v>0</v>
      </c>
      <c r="AC20" s="10">
        <f t="shared" si="27"/>
        <v>0</v>
      </c>
      <c r="AD20" s="13">
        <f t="shared" si="28"/>
        <v>0.12197438399916913</v>
      </c>
      <c r="AE20" s="13">
        <f t="shared" si="29"/>
        <v>0.019921058126557062</v>
      </c>
      <c r="AF20" s="17">
        <f t="shared" si="30"/>
        <v>0</v>
      </c>
    </row>
    <row r="21" spans="1:32" ht="12.75">
      <c r="A21" s="12">
        <v>13</v>
      </c>
      <c r="B21" s="10">
        <f t="shared" si="0"/>
        <v>0</v>
      </c>
      <c r="C21" s="10">
        <f t="shared" si="1"/>
        <v>0</v>
      </c>
      <c r="D21" s="16" t="e">
        <f t="shared" si="2"/>
        <v>#DIV/0!</v>
      </c>
      <c r="E21" s="10">
        <f t="shared" si="3"/>
        <v>0</v>
      </c>
      <c r="F21" s="13">
        <f t="shared" si="4"/>
        <v>0.7737286827898453</v>
      </c>
      <c r="G21" s="13">
        <f t="shared" si="5"/>
        <v>6.296271317210155</v>
      </c>
      <c r="H21" s="17">
        <f t="shared" si="6"/>
        <v>0</v>
      </c>
      <c r="I21" s="10">
        <f t="shared" si="7"/>
        <v>0</v>
      </c>
      <c r="J21" s="13">
        <f t="shared" si="8"/>
        <v>0.4092586225060985</v>
      </c>
      <c r="K21" s="13">
        <f t="shared" si="9"/>
        <v>0.3644700602837468</v>
      </c>
      <c r="L21" s="17">
        <f t="shared" si="10"/>
        <v>0</v>
      </c>
      <c r="M21" s="10">
        <f t="shared" si="11"/>
        <v>0</v>
      </c>
      <c r="N21" s="13">
        <f t="shared" si="12"/>
        <v>0.27820724354073223</v>
      </c>
      <c r="O21" s="13">
        <f t="shared" si="13"/>
        <v>0.13105137896536628</v>
      </c>
      <c r="P21" s="17">
        <f t="shared" si="14"/>
        <v>0</v>
      </c>
      <c r="Q21" s="10">
        <f t="shared" si="15"/>
        <v>0</v>
      </c>
      <c r="R21" s="13">
        <f t="shared" si="16"/>
        <v>0.21072849466532026</v>
      </c>
      <c r="S21" s="13">
        <f t="shared" si="17"/>
        <v>0.06747874887541197</v>
      </c>
      <c r="T21" s="17">
        <f t="shared" si="18"/>
        <v>0</v>
      </c>
      <c r="U21" s="10">
        <f t="shared" si="19"/>
        <v>0</v>
      </c>
      <c r="V21" s="13">
        <f t="shared" si="20"/>
        <v>0.16959377852299892</v>
      </c>
      <c r="W21" s="13">
        <f t="shared" si="21"/>
        <v>0.04113471614232134</v>
      </c>
      <c r="X21" s="17">
        <f t="shared" si="22"/>
        <v>0</v>
      </c>
      <c r="Y21" s="10">
        <f t="shared" si="23"/>
        <v>0</v>
      </c>
      <c r="Z21" s="13">
        <f t="shared" si="24"/>
        <v>0.1418954421257262</v>
      </c>
      <c r="AA21" s="13">
        <f t="shared" si="25"/>
        <v>0.027698336397272733</v>
      </c>
      <c r="AB21" s="17">
        <f t="shared" si="26"/>
        <v>0</v>
      </c>
      <c r="AC21" s="10">
        <f t="shared" si="27"/>
        <v>0</v>
      </c>
      <c r="AD21" s="13">
        <f t="shared" si="28"/>
        <v>0.12197438399916913</v>
      </c>
      <c r="AE21" s="13">
        <f t="shared" si="29"/>
        <v>0.019921058126557062</v>
      </c>
      <c r="AF21" s="17">
        <f t="shared" si="30"/>
        <v>0</v>
      </c>
    </row>
    <row r="23" spans="1:4" ht="12.75">
      <c r="A23" s="15" t="s">
        <v>18</v>
      </c>
      <c r="B23" s="12" t="s">
        <v>47</v>
      </c>
      <c r="D23" s="18" t="s">
        <v>48</v>
      </c>
    </row>
    <row r="24" spans="1:4" ht="12.75">
      <c r="A24" s="12">
        <v>1</v>
      </c>
      <c r="B24" s="19">
        <f>SUMIF(D$7:AF$7,"F",D9:AF9)</f>
        <v>0.02389786322465496</v>
      </c>
      <c r="D24" s="18">
        <f>'dados da B e CCIs e pto trabalh'!A5/3.6</f>
        <v>1.6666666666666665</v>
      </c>
    </row>
    <row r="25" spans="1:4" ht="12.75">
      <c r="A25" s="12">
        <v>2</v>
      </c>
      <c r="B25" s="19">
        <f aca="true" t="shared" si="31" ref="B25:B36">SUMIF(D$7:AF$7,"F",D10:AF10)</f>
        <v>0.023142052944031922</v>
      </c>
      <c r="D25" s="18">
        <f>'dados da B e CCIs e pto trabalh'!A6/3.6</f>
        <v>2.2222222222222223</v>
      </c>
    </row>
    <row r="26" spans="1:4" ht="12.75">
      <c r="A26" s="12">
        <v>3</v>
      </c>
      <c r="B26" s="19">
        <f t="shared" si="31"/>
        <v>0.022649336685245186</v>
      </c>
      <c r="D26" s="18">
        <f>'dados da B e CCIs e pto trabalh'!A7/3.6</f>
        <v>2.7777777777777777</v>
      </c>
    </row>
    <row r="27" spans="1:4" ht="12.75">
      <c r="A27" s="12">
        <v>4</v>
      </c>
      <c r="B27" s="19">
        <f t="shared" si="31"/>
        <v>0.02193455030803235</v>
      </c>
      <c r="D27" s="18">
        <f>'dados da B e CCIs e pto trabalh'!A8/3.6</f>
        <v>4.166666666666667</v>
      </c>
    </row>
    <row r="28" spans="1:4" ht="12.75">
      <c r="A28" s="12">
        <v>5</v>
      </c>
      <c r="B28" s="19">
        <f t="shared" si="31"/>
        <v>0.021546895153865975</v>
      </c>
      <c r="D28" s="18">
        <f>'dados da B e CCIs e pto trabalh'!A9/3.6</f>
        <v>5.555555555555555</v>
      </c>
    </row>
    <row r="29" spans="1:4" ht="12.75">
      <c r="A29" s="12">
        <v>6</v>
      </c>
      <c r="B29" s="19">
        <f t="shared" si="31"/>
        <v>0.021437071267965745</v>
      </c>
      <c r="D29" s="18">
        <f>'dados da B e CCIs e pto trabalh'!A10/3.6</f>
        <v>6.111111111111111</v>
      </c>
    </row>
    <row r="30" spans="1:4" ht="12.75">
      <c r="A30" s="12">
        <v>7</v>
      </c>
      <c r="B30" s="19">
        <f t="shared" si="31"/>
        <v>0.02134409884918906</v>
      </c>
      <c r="D30" s="18">
        <f>'dados da B e CCIs e pto trabalh'!A11/3.6</f>
        <v>6.666666666666666</v>
      </c>
    </row>
    <row r="31" spans="1:4" ht="12.75">
      <c r="A31" s="12">
        <v>8</v>
      </c>
      <c r="B31" s="19">
        <f t="shared" si="31"/>
        <v>0.021264358202109306</v>
      </c>
      <c r="D31" s="18">
        <f>'dados da B e CCIs e pto trabalh'!A12/3.6</f>
        <v>7.222222222222222</v>
      </c>
    </row>
    <row r="32" spans="1:4" ht="12.75">
      <c r="A32" s="12">
        <v>9</v>
      </c>
      <c r="B32" s="19">
        <f t="shared" si="31"/>
        <v>0.021195200886956263</v>
      </c>
      <c r="D32" s="18">
        <f>'dados da B e CCIs e pto trabalh'!A13/3.6</f>
        <v>7.777777777777778</v>
      </c>
    </row>
    <row r="33" spans="1:4" ht="12.75">
      <c r="A33" s="12">
        <v>10</v>
      </c>
      <c r="B33" s="19">
        <f t="shared" si="31"/>
        <v>0.021134643433782303</v>
      </c>
      <c r="D33" s="18">
        <f>'dados da B e CCIs e pto trabalh'!A14/3.6</f>
        <v>8.333333333333334</v>
      </c>
    </row>
    <row r="34" spans="1:4" ht="12.75">
      <c r="A34" s="12">
        <v>11</v>
      </c>
      <c r="B34" s="13" t="e">
        <f t="shared" si="31"/>
        <v>#DIV/0!</v>
      </c>
      <c r="D34" s="18">
        <f>'dados da B e CCIs e pto trabalh'!A15/3.6</f>
        <v>0</v>
      </c>
    </row>
    <row r="35" spans="1:4" ht="12.75">
      <c r="A35" s="12">
        <v>12</v>
      </c>
      <c r="B35" s="13" t="e">
        <f t="shared" si="31"/>
        <v>#DIV/0!</v>
      </c>
      <c r="D35" s="18">
        <f>'dados da B e CCIs e pto trabalh'!A16/3.6</f>
        <v>0</v>
      </c>
    </row>
    <row r="36" spans="1:4" ht="12.75">
      <c r="A36" s="12">
        <v>13</v>
      </c>
      <c r="B36" s="13" t="e">
        <f t="shared" si="31"/>
        <v>#DIV/0!</v>
      </c>
      <c r="D36" s="18">
        <f>'dados da B e CCIs e pto trabalh'!A17/3.6</f>
        <v>0</v>
      </c>
    </row>
  </sheetData>
  <mergeCells count="1">
    <mergeCell ref="A1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ralemao</cp:lastModifiedBy>
  <dcterms:created xsi:type="dcterms:W3CDTF">2007-11-23T14:05:04Z</dcterms:created>
  <dcterms:modified xsi:type="dcterms:W3CDTF">2007-12-06T12:41:58Z</dcterms:modified>
  <cp:category/>
  <cp:version/>
  <cp:contentType/>
  <cp:contentStatus/>
</cp:coreProperties>
</file>